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6275" windowHeight="7995" activeTab="6"/>
  </bookViews>
  <sheets>
    <sheet name="BS" sheetId="1" r:id="rId1"/>
    <sheet name="I &amp; E." sheetId="4" r:id="rId2"/>
    <sheet name="CF" sheetId="2" r:id="rId3"/>
    <sheet name="notes 1 " sheetId="3" r:id="rId4"/>
    <sheet name="notes 2-5" sheetId="11" r:id="rId5"/>
    <sheet name="Dolar Xcnag" sheetId="7" r:id="rId6"/>
    <sheet name="Asset Schedule" sheetId="12" r:id="rId7"/>
    <sheet name="RECONCILIATION" sheetId="13" r:id="rId8"/>
    <sheet name="Analyses" sheetId="16" r:id="rId9"/>
    <sheet name="AJ" sheetId="17" r:id="rId10"/>
    <sheet name="TB" sheetId="18" r:id="rId11"/>
  </sheets>
  <calcPr calcId="124519"/>
</workbook>
</file>

<file path=xl/calcChain.xml><?xml version="1.0" encoding="utf-8"?>
<calcChain xmlns="http://schemas.openxmlformats.org/spreadsheetml/2006/main">
  <c r="H23" i="7"/>
  <c r="F25" i="4" l="1"/>
  <c r="D25"/>
  <c r="H47" i="2"/>
  <c r="H36"/>
  <c r="H34"/>
  <c r="H31"/>
  <c r="H29"/>
  <c r="H28"/>
  <c r="H27"/>
  <c r="H26"/>
  <c r="H25"/>
  <c r="H24"/>
  <c r="H23"/>
  <c r="H21"/>
  <c r="H17"/>
  <c r="F28" i="13"/>
  <c r="J43" i="12"/>
  <c r="F32" i="1"/>
  <c r="D22" i="4"/>
  <c r="G83" i="17" l="1"/>
  <c r="H66" i="18"/>
  <c r="I28"/>
  <c r="I52"/>
  <c r="I50"/>
  <c r="F87" i="17"/>
  <c r="G87"/>
  <c r="G86"/>
  <c r="F54" i="3"/>
  <c r="F41"/>
  <c r="F32"/>
  <c r="F26"/>
  <c r="I65" i="18"/>
  <c r="L65" s="1"/>
  <c r="D30" i="11" s="1"/>
  <c r="H18" i="18"/>
  <c r="E24" i="4" l="1"/>
  <c r="F30" i="1"/>
  <c r="D12" i="7"/>
  <c r="G12" s="1"/>
  <c r="L20" i="18"/>
  <c r="K23"/>
  <c r="K24"/>
  <c r="K25"/>
  <c r="K26"/>
  <c r="K33"/>
  <c r="K34"/>
  <c r="E28" i="3" s="1"/>
  <c r="K35" i="18"/>
  <c r="K38"/>
  <c r="K48"/>
  <c r="K49"/>
  <c r="K56"/>
  <c r="K57"/>
  <c r="K62"/>
  <c r="K63"/>
  <c r="I18"/>
  <c r="G74" i="17"/>
  <c r="I70"/>
  <c r="I68"/>
  <c r="J72"/>
  <c r="F69" i="18"/>
  <c r="G69"/>
  <c r="E69"/>
  <c r="H17"/>
  <c r="D52" i="4"/>
  <c r="H34" i="1"/>
  <c r="H21"/>
  <c r="H17"/>
  <c r="J63" i="17"/>
  <c r="I10" i="18" s="1"/>
  <c r="L10" s="1"/>
  <c r="D17" i="11" s="1"/>
  <c r="I62" i="17"/>
  <c r="K18" i="18" s="1"/>
  <c r="D12" i="11" s="1"/>
  <c r="F46" i="2" s="1"/>
  <c r="J119" i="16"/>
  <c r="E118"/>
  <c r="F15" i="17"/>
  <c r="P63" i="16"/>
  <c r="G11" i="17" s="1"/>
  <c r="I14" i="18" s="1"/>
  <c r="L14" s="1"/>
  <c r="D25" i="11" s="1"/>
  <c r="F24" i="1" l="1"/>
  <c r="E11" i="4"/>
  <c r="F14" i="2" s="1"/>
  <c r="F28" i="1"/>
  <c r="E19" i="4"/>
  <c r="F16" i="2" s="1"/>
  <c r="J49" i="12"/>
  <c r="J63" s="1"/>
  <c r="E139" i="16"/>
  <c r="D139"/>
  <c r="P180" l="1"/>
  <c r="P159"/>
  <c r="N139"/>
  <c r="K67"/>
  <c r="K68" s="1"/>
  <c r="K161" s="1"/>
  <c r="I118"/>
  <c r="O139"/>
  <c r="O180"/>
  <c r="N177"/>
  <c r="N180" s="1"/>
  <c r="O159" s="1"/>
  <c r="H180"/>
  <c r="L180"/>
  <c r="M180"/>
  <c r="N159" s="1"/>
  <c r="M159"/>
  <c r="J177"/>
  <c r="J180" s="1"/>
  <c r="K159" s="1"/>
  <c r="I177"/>
  <c r="I180" s="1"/>
  <c r="J159" s="1"/>
  <c r="K177"/>
  <c r="K180" s="1"/>
  <c r="P104"/>
  <c r="F21" i="17" s="1"/>
  <c r="H27" i="18" s="1"/>
  <c r="K27" s="1"/>
  <c r="E21" i="3" s="1"/>
  <c r="P108" i="16"/>
  <c r="F25" i="17" s="1"/>
  <c r="H32" i="18" s="1"/>
  <c r="K32" s="1"/>
  <c r="P109" i="16"/>
  <c r="F26" i="17" s="1"/>
  <c r="P110" i="16"/>
  <c r="F27" i="17" s="1"/>
  <c r="P111" i="16"/>
  <c r="F28" i="17" s="1"/>
  <c r="P112" i="16"/>
  <c r="F29" i="17" s="1"/>
  <c r="H36" i="18" s="1"/>
  <c r="K36" s="1"/>
  <c r="E30" i="3" s="1"/>
  <c r="P114" i="16"/>
  <c r="F31" i="17" s="1"/>
  <c r="P115" i="16"/>
  <c r="F32" i="17" s="1"/>
  <c r="P117" i="16"/>
  <c r="F34" i="17" s="1"/>
  <c r="H40" i="18" s="1"/>
  <c r="K40" s="1"/>
  <c r="E35" i="3" s="1"/>
  <c r="P120" i="16"/>
  <c r="F37" i="17" s="1"/>
  <c r="H43" i="18" s="1"/>
  <c r="K43" s="1"/>
  <c r="P125" i="16"/>
  <c r="F42" i="17" s="1"/>
  <c r="P126" i="16"/>
  <c r="F43" i="17" s="1"/>
  <c r="P132" i="16"/>
  <c r="F49" i="17" s="1"/>
  <c r="H55" i="18" s="1"/>
  <c r="K55" s="1"/>
  <c r="P133" i="16"/>
  <c r="F50" i="17" s="1"/>
  <c r="P137" i="16"/>
  <c r="F54" i="17" s="1"/>
  <c r="P141" i="16"/>
  <c r="I159"/>
  <c r="G180"/>
  <c r="H159" s="1"/>
  <c r="F118"/>
  <c r="P140"/>
  <c r="F180"/>
  <c r="G159" s="1"/>
  <c r="E187"/>
  <c r="D142"/>
  <c r="D166" s="1"/>
  <c r="E180"/>
  <c r="F159" s="1"/>
  <c r="D187"/>
  <c r="P64"/>
  <c r="G13" i="17" s="1"/>
  <c r="I22" i="18" s="1"/>
  <c r="P65" i="16"/>
  <c r="P66"/>
  <c r="G12" i="17" s="1"/>
  <c r="I12" i="18" s="1"/>
  <c r="L12" s="1"/>
  <c r="E68" i="16"/>
  <c r="F68"/>
  <c r="F161" s="1"/>
  <c r="G68"/>
  <c r="G161" s="1"/>
  <c r="H68"/>
  <c r="H161" s="1"/>
  <c r="I68"/>
  <c r="I161" s="1"/>
  <c r="I163" s="1"/>
  <c r="J68"/>
  <c r="J161" s="1"/>
  <c r="L68"/>
  <c r="L161" s="1"/>
  <c r="M68"/>
  <c r="M161" s="1"/>
  <c r="N68"/>
  <c r="N161" s="1"/>
  <c r="N163" s="1"/>
  <c r="O68"/>
  <c r="O161" s="1"/>
  <c r="E161"/>
  <c r="D67"/>
  <c r="D162" s="1"/>
  <c r="D177"/>
  <c r="D180" s="1"/>
  <c r="E159" s="1"/>
  <c r="D20" i="11" l="1"/>
  <c r="E163" i="16"/>
  <c r="O163"/>
  <c r="H163"/>
  <c r="P67"/>
  <c r="D68"/>
  <c r="G163"/>
  <c r="M163"/>
  <c r="K163"/>
  <c r="J163"/>
  <c r="L159"/>
  <c r="L163" s="1"/>
  <c r="P68"/>
  <c r="P161" s="1"/>
  <c r="P163" s="1"/>
  <c r="F163"/>
  <c r="G14" i="17" l="1"/>
  <c r="E16" i="13"/>
  <c r="F18" s="1"/>
  <c r="F26" i="1"/>
  <c r="F34" s="1"/>
  <c r="E15" i="4"/>
  <c r="D28" i="11"/>
  <c r="D32" s="1"/>
  <c r="G15" i="17"/>
  <c r="I66" i="18"/>
  <c r="L66" s="1"/>
  <c r="L69" s="1"/>
  <c r="D159" i="16"/>
  <c r="D163" s="1"/>
  <c r="D169" s="1"/>
  <c r="D182" s="1"/>
  <c r="O122"/>
  <c r="O131"/>
  <c r="N123"/>
  <c r="N130"/>
  <c r="M118"/>
  <c r="M105"/>
  <c r="M129"/>
  <c r="L119"/>
  <c r="L138"/>
  <c r="K105"/>
  <c r="K139"/>
  <c r="K130"/>
  <c r="K118"/>
  <c r="K136"/>
  <c r="P136" s="1"/>
  <c r="F53" i="17" s="1"/>
  <c r="H60" i="18" s="1"/>
  <c r="K60" s="1"/>
  <c r="E53" i="3" s="1"/>
  <c r="K103" i="16"/>
  <c r="K129"/>
  <c r="K138"/>
  <c r="K127"/>
  <c r="P127" s="1"/>
  <c r="F44" i="17" s="1"/>
  <c r="H50" i="18" s="1"/>
  <c r="K50" s="1"/>
  <c r="E43" i="3" s="1"/>
  <c r="J118" i="16"/>
  <c r="J113"/>
  <c r="P113" s="1"/>
  <c r="F30" i="17" s="1"/>
  <c r="H37" i="18" s="1"/>
  <c r="K37" s="1"/>
  <c r="E31" i="3" s="1"/>
  <c r="E32" s="1"/>
  <c r="J105" i="16"/>
  <c r="J106"/>
  <c r="J134"/>
  <c r="P134" s="1"/>
  <c r="F51" i="17" s="1"/>
  <c r="H58" i="18" s="1"/>
  <c r="K58" s="1"/>
  <c r="E52" i="3" s="1"/>
  <c r="I123" i="16"/>
  <c r="I142" s="1"/>
  <c r="I166" s="1"/>
  <c r="I169" s="1"/>
  <c r="I182" s="1"/>
  <c r="H116"/>
  <c r="P116" s="1"/>
  <c r="F33" i="17" s="1"/>
  <c r="H39" i="18" s="1"/>
  <c r="K39" s="1"/>
  <c r="E34" i="3" s="1"/>
  <c r="H139" i="16"/>
  <c r="H128"/>
  <c r="P128" s="1"/>
  <c r="F45" i="17" s="1"/>
  <c r="H51" i="18" s="1"/>
  <c r="K51" s="1"/>
  <c r="E44" i="3" s="1"/>
  <c r="H130" i="16"/>
  <c r="P130" s="1"/>
  <c r="F47" i="17" s="1"/>
  <c r="H53" i="18" s="1"/>
  <c r="K53" s="1"/>
  <c r="E46" i="3" s="1"/>
  <c r="H124" i="16"/>
  <c r="P124" s="1"/>
  <c r="F41" i="17" s="1"/>
  <c r="H47" i="18" s="1"/>
  <c r="K47" s="1"/>
  <c r="H106" i="16"/>
  <c r="P106" s="1"/>
  <c r="F23" i="17" s="1"/>
  <c r="H29" i="18" s="1"/>
  <c r="K29" s="1"/>
  <c r="E23" i="3" s="1"/>
  <c r="H103" i="16"/>
  <c r="H107"/>
  <c r="P107" s="1"/>
  <c r="F24" i="17" s="1"/>
  <c r="H30" i="18" s="1"/>
  <c r="K30" s="1"/>
  <c r="E24" i="3" s="1"/>
  <c r="G118" i="16"/>
  <c r="G119"/>
  <c r="G138"/>
  <c r="G105"/>
  <c r="G131"/>
  <c r="P131" s="1"/>
  <c r="F48" i="17" s="1"/>
  <c r="H54" i="18" s="1"/>
  <c r="K54" s="1"/>
  <c r="E47" i="3" s="1"/>
  <c r="G135" i="16"/>
  <c r="P135" s="1"/>
  <c r="F52" i="17" s="1"/>
  <c r="H59" i="18" s="1"/>
  <c r="K59" s="1"/>
  <c r="E50" i="3" s="1"/>
  <c r="E54" s="1"/>
  <c r="G129" i="16"/>
  <c r="G121"/>
  <c r="P121" s="1"/>
  <c r="F38" i="17" s="1"/>
  <c r="H44" i="18" s="1"/>
  <c r="K44" s="1"/>
  <c r="E40" i="3" s="1"/>
  <c r="F119" i="16"/>
  <c r="F123"/>
  <c r="P123" s="1"/>
  <c r="F40" i="17" s="1"/>
  <c r="E37" i="16"/>
  <c r="P24"/>
  <c r="F69" i="17" s="1"/>
  <c r="P25" i="16"/>
  <c r="I71" i="17" s="1"/>
  <c r="P26" i="16"/>
  <c r="P23"/>
  <c r="E27"/>
  <c r="F27"/>
  <c r="G27"/>
  <c r="H27"/>
  <c r="I27"/>
  <c r="J27"/>
  <c r="K27"/>
  <c r="L27"/>
  <c r="M27"/>
  <c r="N27"/>
  <c r="O27"/>
  <c r="D27"/>
  <c r="D42" s="1"/>
  <c r="P13"/>
  <c r="P14"/>
  <c r="E15"/>
  <c r="F15"/>
  <c r="G15"/>
  <c r="H15"/>
  <c r="I15"/>
  <c r="J15"/>
  <c r="K15"/>
  <c r="L15"/>
  <c r="M15"/>
  <c r="N15"/>
  <c r="O15"/>
  <c r="P12"/>
  <c r="P37" s="1"/>
  <c r="D15"/>
  <c r="D37" s="1"/>
  <c r="D41" s="1"/>
  <c r="P62"/>
  <c r="F9" i="13" s="1"/>
  <c r="F19" s="1"/>
  <c r="E19" i="1"/>
  <c r="E16"/>
  <c r="E15"/>
  <c r="E14"/>
  <c r="E13"/>
  <c r="E12"/>
  <c r="E11"/>
  <c r="E10"/>
  <c r="E9"/>
  <c r="E22" i="4" l="1"/>
  <c r="E25" s="1"/>
  <c r="F15" i="2"/>
  <c r="F21" s="1"/>
  <c r="D43" i="16"/>
  <c r="D47" s="1"/>
  <c r="P15"/>
  <c r="P27"/>
  <c r="P42" s="1"/>
  <c r="I69" i="17"/>
  <c r="H22" i="18" s="1"/>
  <c r="K22" s="1"/>
  <c r="F74" i="17"/>
  <c r="D17" i="7" s="1"/>
  <c r="G17" s="1"/>
  <c r="E44" i="4"/>
  <c r="F27" i="2" s="1"/>
  <c r="F14" i="1"/>
  <c r="E34" i="4"/>
  <c r="F24" i="2" s="1"/>
  <c r="F11" i="1"/>
  <c r="I67" i="17"/>
  <c r="N142" i="16"/>
  <c r="N166" s="1"/>
  <c r="N169" s="1"/>
  <c r="N182" s="1"/>
  <c r="P118"/>
  <c r="F35" i="17" s="1"/>
  <c r="H41" i="18" s="1"/>
  <c r="K41" s="1"/>
  <c r="E36" i="3" s="1"/>
  <c r="E142" i="16"/>
  <c r="E166" s="1"/>
  <c r="E169" s="1"/>
  <c r="E182" s="1"/>
  <c r="P105"/>
  <c r="F22" i="17" s="1"/>
  <c r="H28" i="18" s="1"/>
  <c r="K28" s="1"/>
  <c r="E22" i="3" s="1"/>
  <c r="G142" i="16"/>
  <c r="G166" s="1"/>
  <c r="G169" s="1"/>
  <c r="G182" s="1"/>
  <c r="P122"/>
  <c r="F39" i="17" s="1"/>
  <c r="H45" i="18" s="1"/>
  <c r="K45" s="1"/>
  <c r="E39" i="3" s="1"/>
  <c r="O142" i="16"/>
  <c r="O166" s="1"/>
  <c r="O169" s="1"/>
  <c r="O182" s="1"/>
  <c r="P119"/>
  <c r="F36" i="17" s="1"/>
  <c r="H42" i="18" s="1"/>
  <c r="K42" s="1"/>
  <c r="E37" i="3" s="1"/>
  <c r="F142" i="16"/>
  <c r="F166" s="1"/>
  <c r="F169" s="1"/>
  <c r="F182" s="1"/>
  <c r="P103"/>
  <c r="F20" i="17" s="1"/>
  <c r="H31" i="18" s="1"/>
  <c r="K31" s="1"/>
  <c r="E25" i="3" s="1"/>
  <c r="H142" i="16"/>
  <c r="H166" s="1"/>
  <c r="H169" s="1"/>
  <c r="H182" s="1"/>
  <c r="K142"/>
  <c r="K166" s="1"/>
  <c r="K169" s="1"/>
  <c r="K182" s="1"/>
  <c r="P40"/>
  <c r="P41" s="1"/>
  <c r="P43" s="1"/>
  <c r="P47" s="1"/>
  <c r="P139"/>
  <c r="F56" i="17" s="1"/>
  <c r="H64" i="18" s="1"/>
  <c r="K64" s="1"/>
  <c r="E59" i="3" s="1"/>
  <c r="P129" i="16"/>
  <c r="F46" i="17" s="1"/>
  <c r="H52" i="18" s="1"/>
  <c r="K52" s="1"/>
  <c r="E45" i="3" s="1"/>
  <c r="E48" s="1"/>
  <c r="P138" i="16"/>
  <c r="F55" i="17" s="1"/>
  <c r="H61" i="18" s="1"/>
  <c r="K61" s="1"/>
  <c r="E56" i="3" s="1"/>
  <c r="J142" i="16"/>
  <c r="J166" s="1"/>
  <c r="J169" s="1"/>
  <c r="J182" s="1"/>
  <c r="L142"/>
  <c r="L166" s="1"/>
  <c r="L169" s="1"/>
  <c r="L182" s="1"/>
  <c r="M142"/>
  <c r="M166" s="1"/>
  <c r="M169" s="1"/>
  <c r="M182" s="1"/>
  <c r="E41" i="3" l="1"/>
  <c r="F12" i="1" s="1"/>
  <c r="F16"/>
  <c r="E50" i="4"/>
  <c r="F29" i="2" s="1"/>
  <c r="E26" i="3"/>
  <c r="F10" i="1" s="1"/>
  <c r="E47" i="4"/>
  <c r="F28" i="2" s="1"/>
  <c r="F15" i="1"/>
  <c r="E41" i="4"/>
  <c r="F26" i="2" s="1"/>
  <c r="F13" i="1"/>
  <c r="H46" i="18"/>
  <c r="K46" s="1"/>
  <c r="E15" i="3" s="1"/>
  <c r="I74" i="17"/>
  <c r="J73" s="1"/>
  <c r="H69" i="18"/>
  <c r="F58" i="17"/>
  <c r="P142" i="16"/>
  <c r="F22" i="13" s="1"/>
  <c r="F24" s="1"/>
  <c r="E37" i="4" l="1"/>
  <c r="F25" i="2" s="1"/>
  <c r="E31" i="4"/>
  <c r="F23" i="2" s="1"/>
  <c r="F31" s="1"/>
  <c r="F36" s="1"/>
  <c r="F42" s="1"/>
  <c r="E29" i="4"/>
  <c r="F34" i="2" s="1"/>
  <c r="F9" i="1"/>
  <c r="F17" s="1"/>
  <c r="E61" i="3"/>
  <c r="J74" i="17"/>
  <c r="P166" i="16"/>
  <c r="P169" s="1"/>
  <c r="P182" s="1"/>
  <c r="G57" i="17"/>
  <c r="E13" i="11"/>
  <c r="E52" i="4" l="1"/>
  <c r="G58" i="17"/>
  <c r="I17" i="18"/>
  <c r="F48" i="3"/>
  <c r="I69" i="18" l="1"/>
  <c r="K17"/>
  <c r="H14" i="7"/>
  <c r="H15" s="1"/>
  <c r="H22" s="1"/>
  <c r="E14"/>
  <c r="E15" s="1"/>
  <c r="K69" i="18" l="1"/>
  <c r="D11" i="11"/>
  <c r="F61" i="3"/>
  <c r="H19" i="7"/>
  <c r="E19"/>
  <c r="E25" s="1"/>
  <c r="H25" s="1"/>
  <c r="D13" i="11" l="1"/>
  <c r="F45" i="2"/>
  <c r="F47" s="1"/>
  <c r="E54" i="4"/>
  <c r="F19" i="1"/>
  <c r="F21" s="1"/>
  <c r="E28" i="11"/>
  <c r="E32" s="1"/>
</calcChain>
</file>

<file path=xl/sharedStrings.xml><?xml version="1.0" encoding="utf-8"?>
<sst xmlns="http://schemas.openxmlformats.org/spreadsheetml/2006/main" count="665" uniqueCount="292">
  <si>
    <t>N</t>
  </si>
  <si>
    <t>$</t>
  </si>
  <si>
    <t>Training</t>
  </si>
  <si>
    <t>Transport &amp; Travelling</t>
  </si>
  <si>
    <t>Printing &amp; Stationeries</t>
  </si>
  <si>
    <t>Vaccine Security &amp; Cold Chain</t>
  </si>
  <si>
    <t>Monitoring &amp; Evaluation</t>
  </si>
  <si>
    <t>Renovation of Cold Store</t>
  </si>
  <si>
    <t>Diesel for Cold store</t>
  </si>
  <si>
    <t>Delivery of Vaccines</t>
  </si>
  <si>
    <t>Meeting on Immunization</t>
  </si>
  <si>
    <t>Monitoring Visit</t>
  </si>
  <si>
    <t>Surpportive Supervision</t>
  </si>
  <si>
    <t>Communication</t>
  </si>
  <si>
    <t>Review Meeting</t>
  </si>
  <si>
    <t>Audit Fees</t>
  </si>
  <si>
    <t>Monitoring Vaccines delivery</t>
  </si>
  <si>
    <t>Vehicle Maintenance</t>
  </si>
  <si>
    <t>Maint. &amp; Fueling</t>
  </si>
  <si>
    <t>Upgrading Health Facilities</t>
  </si>
  <si>
    <t>Reaching Every Ward (REW)</t>
  </si>
  <si>
    <t>STATEMENT OF SPECIAL ACCOUNT</t>
  </si>
  <si>
    <t>Balance Brought Forward</t>
  </si>
  <si>
    <t>Receipt in the Year</t>
  </si>
  <si>
    <t>Interest Received</t>
  </si>
  <si>
    <t xml:space="preserve">           Bank Charge</t>
  </si>
  <si>
    <t>Exchange Gain</t>
  </si>
  <si>
    <t>Balance as at 31/12/16</t>
  </si>
  <si>
    <t>BAUCHI STATE PRIMARY HEALTH CARE DEVELOPMENT AGENCY (BSPHCDA)</t>
  </si>
  <si>
    <t>IMPROVING ROUTINE IMMUNIZATION IN BAUCHI STATE.</t>
  </si>
  <si>
    <t>STATEMENT OF INCOME AND EXPENDITURE</t>
  </si>
  <si>
    <t>Budget for</t>
  </si>
  <si>
    <t>Actual Figures</t>
  </si>
  <si>
    <t>the Project</t>
  </si>
  <si>
    <t>NOTE</t>
  </si>
  <si>
    <t>BILLGATES FOUNDATION</t>
  </si>
  <si>
    <t>Funds received during the year</t>
  </si>
  <si>
    <t>DANGOTE FOUNDATION</t>
  </si>
  <si>
    <t>BAUCHI STATE GOVERNMENT</t>
  </si>
  <si>
    <t>TOTAL FUND DURING THE PERIOD</t>
  </si>
  <si>
    <t>COSTS INCURRED:</t>
  </si>
  <si>
    <t>Governance and Accountability</t>
  </si>
  <si>
    <t>Improving Accessibility and Utilization</t>
  </si>
  <si>
    <t>Vaccines Security, Cold Chain &amp; Logistics</t>
  </si>
  <si>
    <t>Suportive Supervission/</t>
  </si>
  <si>
    <t>Monitoring and Evaluation</t>
  </si>
  <si>
    <t>Others</t>
  </si>
  <si>
    <t>TOTAL COSTS</t>
  </si>
  <si>
    <t>1. Jan,</t>
  </si>
  <si>
    <t>to 31</t>
  </si>
  <si>
    <t>Dec., 2016</t>
  </si>
  <si>
    <t>GOVERNANCE AND ACCOUNTABILITY</t>
  </si>
  <si>
    <t>MONITORING AND EVALUATION</t>
  </si>
  <si>
    <t>OTHERS</t>
  </si>
  <si>
    <t>TOTAL ADMINISTRATIVE EXPENSES</t>
  </si>
  <si>
    <t>IMPROVING ASSESSMENT &amp; UTILIZATION</t>
  </si>
  <si>
    <t>COMMUNITY MOBILIZATION</t>
  </si>
  <si>
    <t>Community Mobilization</t>
  </si>
  <si>
    <t>Task force on immunisation</t>
  </si>
  <si>
    <t>Outreach Services</t>
  </si>
  <si>
    <t xml:space="preserve">1 Jan, to </t>
  </si>
  <si>
    <t>CASHFLOW STATEMENT</t>
  </si>
  <si>
    <t>Cash Flow for the year</t>
  </si>
  <si>
    <t>State Government Counterpart Fund</t>
  </si>
  <si>
    <t>Net Cash Inflow</t>
  </si>
  <si>
    <t>Dangote Foundation</t>
  </si>
  <si>
    <t>Good Governance &amp; Accountability</t>
  </si>
  <si>
    <t>Improving Accessibilty &amp; Utilization</t>
  </si>
  <si>
    <t>Unspent fund for the period</t>
  </si>
  <si>
    <t>Unity Bank Current Account</t>
  </si>
  <si>
    <t>Unity Bank Dollar Account</t>
  </si>
  <si>
    <t>Represented by: Unspent fund for the period</t>
  </si>
  <si>
    <t>VACCINES SECURITIES, COLD CHAIN &amp; LOGISTICS</t>
  </si>
  <si>
    <t>STATEMENT OF FINANCIAL POSITION</t>
  </si>
  <si>
    <t>NOTES</t>
  </si>
  <si>
    <t>FUNDING</t>
  </si>
  <si>
    <t>CASH &amp; BANK BALANCES</t>
  </si>
  <si>
    <t xml:space="preserve"> NOTES TO THE FINANCIAL STATEMENTS</t>
  </si>
  <si>
    <t>BSPHCDA</t>
  </si>
  <si>
    <r>
      <t xml:space="preserve">Add: </t>
    </r>
    <r>
      <rPr>
        <sz val="12"/>
        <color theme="1"/>
        <rFont val="Times New Roman"/>
        <family val="1"/>
      </rPr>
      <t>Exchange gain</t>
    </r>
  </si>
  <si>
    <t xml:space="preserve"> Financed by:</t>
  </si>
  <si>
    <t xml:space="preserve"> Bill and Melinda Gates Foundation</t>
  </si>
  <si>
    <t xml:space="preserve"> Dangote Foundation</t>
  </si>
  <si>
    <t xml:space="preserve"> Bauchi State Government</t>
  </si>
  <si>
    <t xml:space="preserve"> Assets</t>
  </si>
  <si>
    <t>1. Jan,2016</t>
  </si>
  <si>
    <t>Training (Staff Training)</t>
  </si>
  <si>
    <t>Bill &amp; Melinda Gate Foundation</t>
  </si>
  <si>
    <t>TRAINING (STAFF TRAINING)</t>
  </si>
  <si>
    <t>Transfer Charges</t>
  </si>
  <si>
    <t>Property, Plant &amp; Equipments</t>
  </si>
  <si>
    <t>Bank Charges</t>
  </si>
  <si>
    <t>Unspent Fund B/F</t>
  </si>
  <si>
    <t>Cash &amp; Bank Balances</t>
  </si>
  <si>
    <t>Cash flow from financing activities</t>
  </si>
  <si>
    <t>Cash flow from operating activities</t>
  </si>
  <si>
    <t>CASH FLOW FROM OPERATIONS</t>
  </si>
  <si>
    <t>CASH FLOW FROM INVESTING ACTIVITIES</t>
  </si>
  <si>
    <t>Purchase of Fixed Assets</t>
  </si>
  <si>
    <t>BEGINNING OF THE YEAR</t>
  </si>
  <si>
    <t>CASH &amp; CASH EQUIVALENT AT THE</t>
  </si>
  <si>
    <t>END OF THE YEAR</t>
  </si>
  <si>
    <t>Less: withdrawals</t>
  </si>
  <si>
    <t>CAPITAL EXPENDITURE</t>
  </si>
  <si>
    <t>Computer Equipments</t>
  </si>
  <si>
    <t>S/NO</t>
  </si>
  <si>
    <t>CONTRACTOR/SUPPLIERS</t>
  </si>
  <si>
    <t>AMOUNT</t>
  </si>
  <si>
    <t>Khalsa Ventures</t>
  </si>
  <si>
    <t>Generators, Transformer, Megaphone &amp; Filling Cabinets</t>
  </si>
  <si>
    <t>I Unit 100 KVA Mikano Generator</t>
  </si>
  <si>
    <t>I Unit 300 KVA Transformer</t>
  </si>
  <si>
    <t>1000 Units Mega phones @N5000</t>
  </si>
  <si>
    <t>1100 Units filling Cabinets @40,000</t>
  </si>
  <si>
    <t>Contract Sum : 62,210,000</t>
  </si>
  <si>
    <t>Amount Paid: N43,546,849</t>
  </si>
  <si>
    <t>Total</t>
  </si>
  <si>
    <t>SCHEDULE OF CAPITAL EXPENDITURE</t>
  </si>
  <si>
    <t xml:space="preserve">DATE </t>
  </si>
  <si>
    <t>BANK RECONCILIATION STATEMENTS UNITY BANK CURRENT ACCOUNT</t>
  </si>
  <si>
    <t>ADD : Total Receipts for the year</t>
  </si>
  <si>
    <t>LESS : Total Payments for the year</t>
  </si>
  <si>
    <t>Balance Via Cash Book</t>
  </si>
  <si>
    <t>Balance Via Bank Statement</t>
  </si>
  <si>
    <t>OPERATING EXPENDITURE</t>
  </si>
  <si>
    <t>1.2.1</t>
  </si>
  <si>
    <t>1.2.2</t>
  </si>
  <si>
    <t>1.2.3</t>
  </si>
  <si>
    <t>1.2.4</t>
  </si>
  <si>
    <t>1.2.5</t>
  </si>
  <si>
    <t>1.2.6</t>
  </si>
  <si>
    <t>1.2.7</t>
  </si>
  <si>
    <t>PROPERTY, PLANTS &amp; EQUIPMENTS</t>
  </si>
  <si>
    <t>were reclassified into capital expenditure</t>
  </si>
  <si>
    <r>
      <t xml:space="preserve">*Note : </t>
    </r>
    <r>
      <rPr>
        <sz val="12"/>
        <color rgb="FF000000"/>
        <rFont val="Times New Roman"/>
        <family val="1"/>
      </rPr>
      <t>Items in the some thematic areas</t>
    </r>
  </si>
  <si>
    <t xml:space="preserve">* Exchange Gain is cumulative because of the previous value </t>
  </si>
  <si>
    <t>BMGF-DANGOTE FOUNDATION - BAUCHI STATE TRI-PARTITE IMMUNIZATION FUND</t>
  </si>
  <si>
    <t>Analyses of Receipts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</si>
  <si>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</si>
  <si>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</si>
  <si>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</si>
  <si>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</si>
  <si>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</si>
  <si>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</si>
  <si>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</si>
  <si>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</si>
  <si>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</si>
  <si>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</si>
  <si>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</si>
  <si>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</si>
  <si>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</si>
  <si>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B/F</t>
  </si>
  <si>
    <t>BMGF</t>
  </si>
  <si>
    <t>Analyses of Payments</t>
  </si>
  <si>
    <t xml:space="preserve">Bank Reconciliation Statements </t>
  </si>
  <si>
    <t>Opening Balance</t>
  </si>
  <si>
    <t>ADD: Lodgements</t>
  </si>
  <si>
    <t>LESS: Payments</t>
  </si>
  <si>
    <t>Balance via Bank Statements</t>
  </si>
  <si>
    <t>Governance &amp; Accountability</t>
  </si>
  <si>
    <t>Improving Access &amp; Utilisation</t>
  </si>
  <si>
    <t>Generator,Furnitures &amp; Equipments</t>
  </si>
  <si>
    <t>Computer Equipment</t>
  </si>
  <si>
    <t>Social Mobilization</t>
  </si>
  <si>
    <t>Bank Reconciliation Statements</t>
  </si>
  <si>
    <t>ADD : Lodgements</t>
  </si>
  <si>
    <t>LESS : Payments</t>
  </si>
  <si>
    <t>Balance via Cash Book</t>
  </si>
  <si>
    <t>Bank Balances</t>
  </si>
  <si>
    <t>ADD : Uncrdtd Ldgmnt</t>
  </si>
  <si>
    <t>LESS : Unprsntd cheques</t>
  </si>
  <si>
    <t>Diff..</t>
  </si>
  <si>
    <t>DF</t>
  </si>
  <si>
    <r>
      <t xml:space="preserve">InsightHills </t>
    </r>
    <r>
      <rPr>
        <sz val="11"/>
        <color theme="1"/>
        <rFont val="Calibri"/>
        <family val="2"/>
      </rPr>
      <t>$</t>
    </r>
    <r>
      <rPr>
        <sz val="11"/>
        <color theme="1"/>
        <rFont val="Calibri"/>
        <family val="2"/>
        <scheme val="minor"/>
      </rPr>
      <t>300,000 @ N360</t>
    </r>
  </si>
  <si>
    <t>Draw Down</t>
  </si>
  <si>
    <t>Fenlab</t>
  </si>
  <si>
    <t>Prezzoshed</t>
  </si>
  <si>
    <t>Validation Exercise</t>
  </si>
  <si>
    <t>R I Integrated Supportive Checklist tools</t>
  </si>
  <si>
    <t>Motor Vehicle</t>
  </si>
  <si>
    <t>Meeting</t>
  </si>
  <si>
    <t>Review meeting / Immunization</t>
  </si>
  <si>
    <t>State Social Mobilization</t>
  </si>
  <si>
    <t>Routine Immunization Activities</t>
  </si>
  <si>
    <t>Land &amp; Buildings</t>
  </si>
  <si>
    <t>For the year 2017</t>
  </si>
  <si>
    <t>Opening Bal as at 1/1/2017</t>
  </si>
  <si>
    <t>For the year end 2017</t>
  </si>
  <si>
    <t>Receipts in Bank not in C/B</t>
  </si>
  <si>
    <t>Balance as at 31/12/2017</t>
  </si>
  <si>
    <t>Receipts in Bank not in CB</t>
  </si>
  <si>
    <t>Payments in B/S not in C/B</t>
  </si>
  <si>
    <t>07//3/17</t>
  </si>
  <si>
    <t>Amount Paid: N16,165,147</t>
  </si>
  <si>
    <t>Balance :N2,498,004</t>
  </si>
  <si>
    <t>R T Briscoe</t>
  </si>
  <si>
    <t>2 Unit Toyota Hiluxb 4 - WD Double Cabin, Petrol</t>
  </si>
  <si>
    <t>Engine, 5 speed manul transmissional with air condition</t>
  </si>
  <si>
    <t>power steering, Allo Wheel, 2.7cc, side step, air bag @</t>
  </si>
  <si>
    <t>Incinerator</t>
  </si>
  <si>
    <t>02/6//17</t>
  </si>
  <si>
    <t>23//5/17</t>
  </si>
  <si>
    <t>FENLAB &amp; Co Nig Ltd</t>
  </si>
  <si>
    <t>3 Units of medical incinerator model 18m-15</t>
  </si>
  <si>
    <t>Amount Paid - 13,950,000</t>
  </si>
  <si>
    <t>02//6/17</t>
  </si>
  <si>
    <t>Ibrahim S Jamaare</t>
  </si>
  <si>
    <t>12 units Asus Tablets: Soft ware Mangement @ 40,000</t>
  </si>
  <si>
    <t>3 units Projector in focus 121 N Lumens 3,500 @150,000</t>
  </si>
  <si>
    <t>Air time Contacted with IPS</t>
  </si>
  <si>
    <t>AS AT DECEMBER 31, 2017</t>
  </si>
  <si>
    <t>31 Dec.,2017</t>
  </si>
  <si>
    <t>Dec., 2017</t>
  </si>
  <si>
    <t>FOR THE YEAR ENDED DECEMBER 31, 2017</t>
  </si>
  <si>
    <t>1. Jan,2017</t>
  </si>
  <si>
    <t>FOR THE YEAR ENDED DECEMBER 31,2017</t>
  </si>
  <si>
    <t>AUDIT JOURNAL</t>
  </si>
  <si>
    <t>Unity Bank C/A</t>
  </si>
  <si>
    <t>Bieng reciept into account</t>
  </si>
  <si>
    <t>now recognised accorddingly</t>
  </si>
  <si>
    <t>DR</t>
  </si>
  <si>
    <t>CR</t>
  </si>
  <si>
    <t>Refunds</t>
  </si>
  <si>
    <t>Being payments through Unity Bank C/A</t>
  </si>
  <si>
    <t>Unity Bank Dollar A/C</t>
  </si>
  <si>
    <t>Being receipt into account now recognised</t>
  </si>
  <si>
    <t>accordingly</t>
  </si>
  <si>
    <t>Being payments through Unity Bank Dollar/A</t>
  </si>
  <si>
    <t>@</t>
  </si>
  <si>
    <t>IMPROVING ROUTINE IMMUNIZATION IN BAUCHI STATE</t>
  </si>
  <si>
    <t xml:space="preserve"> TRIAL BALANCE</t>
  </si>
  <si>
    <t>DESCRIPTION</t>
  </si>
  <si>
    <t>OPENING BALANCE</t>
  </si>
  <si>
    <t>ADJUSTMENTS</t>
  </si>
  <si>
    <t>INCOME &amp; EXPENDITURE</t>
  </si>
  <si>
    <t>Dr</t>
  </si>
  <si>
    <t>Cr</t>
  </si>
  <si>
    <r>
      <t xml:space="preserve"> </t>
    </r>
    <r>
      <rPr>
        <sz val="12"/>
        <color theme="1"/>
        <rFont val="Arial Narrow"/>
        <family val="2"/>
      </rPr>
      <t>Exchange gain</t>
    </r>
  </si>
  <si>
    <t>Unity Bank Dollar Acct</t>
  </si>
  <si>
    <t>Retention</t>
  </si>
  <si>
    <t>FOR THE YEAR ENDED 31 DECEMBER 2017</t>
  </si>
  <si>
    <t>Unspent Funds</t>
  </si>
  <si>
    <t>Dangote Foundation 15% Contribution</t>
  </si>
  <si>
    <t>Bauchi State Govt 70% Contribution</t>
  </si>
  <si>
    <t>Exchange Gain/Loss</t>
  </si>
  <si>
    <t>Prezzoshed (Preventive Maint)</t>
  </si>
  <si>
    <t>Fenlab( Incerenator)</t>
  </si>
  <si>
    <t>Fenlab(Preventive Maint)</t>
  </si>
  <si>
    <t>Prezzoshed (Solar Drive)</t>
  </si>
  <si>
    <r>
      <t xml:space="preserve">* Reciept &amp; Payment rate :@=N= 360 per </t>
    </r>
    <r>
      <rPr>
        <sz val="11"/>
        <color theme="1"/>
        <rFont val="Calibri"/>
        <family val="2"/>
      </rPr>
      <t>$</t>
    </r>
    <r>
      <rPr>
        <sz val="11"/>
        <color theme="1"/>
        <rFont val="Times New Roman"/>
        <family val="1"/>
      </rPr>
      <t>1</t>
    </r>
  </si>
  <si>
    <r>
      <t xml:space="preserve">* Closing rate :@=N= 360 per </t>
    </r>
    <r>
      <rPr>
        <sz val="11"/>
        <color theme="1"/>
        <rFont val="Calibri"/>
        <family val="2"/>
      </rPr>
      <t>$</t>
    </r>
    <r>
      <rPr>
        <sz val="11"/>
        <color theme="1"/>
        <rFont val="Times New Roman"/>
        <family val="1"/>
      </rPr>
      <t>1</t>
    </r>
  </si>
  <si>
    <t xml:space="preserve">Exchange Gain </t>
  </si>
  <si>
    <r>
      <t xml:space="preserve">Unity Dollar Account @ =N= 360 to </t>
    </r>
    <r>
      <rPr>
        <sz val="11"/>
        <color theme="1"/>
        <rFont val="Calibri"/>
        <family val="2"/>
      </rPr>
      <t>$</t>
    </r>
    <r>
      <rPr>
        <sz val="11"/>
        <color theme="1"/>
        <rFont val="Calibri"/>
        <family val="2"/>
        <scheme val="minor"/>
      </rPr>
      <t xml:space="preserve">1 </t>
    </r>
  </si>
  <si>
    <r>
      <t>Add: OTHERS (</t>
    </r>
    <r>
      <rPr>
        <sz val="12"/>
        <color theme="1"/>
        <rFont val="Times New Roman"/>
        <family val="1"/>
      </rPr>
      <t>Exchange gain/Loss)</t>
    </r>
  </si>
  <si>
    <t>State Social Mobilisation</t>
  </si>
  <si>
    <t>Routine Immmunization Activities</t>
  </si>
  <si>
    <t>Supportive Supervision</t>
  </si>
  <si>
    <t>Meeting on Immunisation</t>
  </si>
  <si>
    <t>1. Jun.,</t>
  </si>
  <si>
    <t>20/11/17</t>
  </si>
  <si>
    <t>Contract Amount - 23,700,000</t>
  </si>
  <si>
    <t>Balance Payments - 9,735,000</t>
  </si>
  <si>
    <t>Balance - 15,000</t>
  </si>
  <si>
    <t>Livinson Computer &amp; Stationeries</t>
  </si>
  <si>
    <t>5VGA Screen Windows 8 @ 298,000</t>
  </si>
  <si>
    <t>2 units HP Probook Intel Core 500 GB HDD, 46B RAM 14"</t>
  </si>
  <si>
    <t>Zainab Sani</t>
  </si>
  <si>
    <t xml:space="preserve">Landed Property incured along Sokoto Rd </t>
  </si>
  <si>
    <t>GRA Bauchi</t>
  </si>
  <si>
    <t xml:space="preserve">80 Units of Dulas Vc 150/102 Solar Direct Drive 15% </t>
  </si>
  <si>
    <r>
      <t xml:space="preserve">Payments </t>
    </r>
    <r>
      <rPr>
        <sz val="11"/>
        <color theme="1"/>
        <rFont val="Calibri"/>
        <family val="2"/>
      </rPr>
      <t>$</t>
    </r>
    <r>
      <rPr>
        <sz val="11"/>
        <color theme="1"/>
        <rFont val="Times New Roman"/>
        <family val="1"/>
      </rPr>
      <t>106,800 @ N360</t>
    </r>
  </si>
  <si>
    <t>3//01/17</t>
  </si>
  <si>
    <t>Prezzo Shed Invest Ltd</t>
  </si>
  <si>
    <t xml:space="preserve">10 Units of Solar Direct Drive Vc 150 SSD 50% </t>
  </si>
  <si>
    <r>
      <t xml:space="preserve">Payments </t>
    </r>
    <r>
      <rPr>
        <sz val="11"/>
        <color theme="1"/>
        <rFont val="Calibri"/>
        <family val="2"/>
      </rPr>
      <t>$</t>
    </r>
    <r>
      <rPr>
        <sz val="11"/>
        <color theme="1"/>
        <rFont val="Times New Roman"/>
        <family val="1"/>
      </rPr>
      <t xml:space="preserve"> 55,000 @ N360</t>
    </r>
  </si>
  <si>
    <t>Solar Direct Drive</t>
  </si>
  <si>
    <t>Bauchi State Govt Contribution</t>
  </si>
  <si>
    <t xml:space="preserve"> Bauchi State Govt contribution</t>
  </si>
  <si>
    <t>23//02//17</t>
  </si>
  <si>
    <t>27//07/17</t>
  </si>
  <si>
    <t>21/12//17</t>
  </si>
  <si>
    <t>Conversion of $300,000 @ N360 to $1</t>
  </si>
  <si>
    <t xml:space="preserve">20/07/17 </t>
  </si>
  <si>
    <t>Opening Balance as at 01/01/2017</t>
  </si>
  <si>
    <t>Analyses of Reciepts</t>
  </si>
  <si>
    <r>
      <t xml:space="preserve">of N72,208,188 + N49,976,690 - 13,636,682 = </t>
    </r>
    <r>
      <rPr>
        <b/>
        <sz val="11"/>
        <color theme="1"/>
        <rFont val="Times New Roman"/>
        <family val="1"/>
      </rPr>
      <t>N108,548,196</t>
    </r>
    <r>
      <rPr>
        <sz val="11"/>
        <color theme="1"/>
        <rFont val="Times New Roman"/>
        <family val="1"/>
      </rPr>
      <t xml:space="preserve"> (Present Value)</t>
    </r>
  </si>
  <si>
    <r>
      <t xml:space="preserve">* Opening Balance rate : @ </t>
    </r>
    <r>
      <rPr>
        <sz val="11"/>
        <color theme="1"/>
        <rFont val="Calibri"/>
        <family val="2"/>
      </rPr>
      <t>=N=199.225</t>
    </r>
    <r>
      <rPr>
        <sz val="11"/>
        <color theme="1"/>
        <rFont val="Times New Roman"/>
        <family val="1"/>
      </rPr>
      <t xml:space="preserve">per </t>
    </r>
    <r>
      <rPr>
        <sz val="11"/>
        <color theme="1"/>
        <rFont val="Calibri"/>
        <family val="2"/>
      </rPr>
      <t>$1</t>
    </r>
  </si>
  <si>
    <t>04//08/17</t>
  </si>
  <si>
    <t>19</t>
  </si>
  <si>
    <t>18</t>
  </si>
  <si>
    <t>___________________________ Executive Chairman</t>
  </si>
  <si>
    <t>___________________________ Chief Accountant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</si>
</sst>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_);_(* \(#,##0\);_(* &quot;-&quot;??_);_(@_)"/>
    <numFmt numFmtId="168" formatCode="_-* #,##0.0000_-;\-* #,##0.0000_-;_-* &quot;-&quot;??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b/>
      <strike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 val="singleAccounting"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16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Accounting"/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u val="singleAccounting"/>
      <sz val="11"/>
      <color rgb="FFFF0000"/>
      <name val="Times New Roman"/>
      <family val="1"/>
    </font>
    <font>
      <u val="singleAccounting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5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1"/>
      <color theme="9"/>
      <name val="Times New Roman"/>
      <family val="1"/>
    </font>
    <font>
      <b/>
      <u val="doubleAccounting"/>
      <sz val="11"/>
      <name val="Times New Roman"/>
      <family val="1"/>
    </font>
    <font>
      <u val="doubleAccounting"/>
      <sz val="11"/>
      <name val="Times New Roman"/>
      <family val="1"/>
    </font>
    <font>
      <b/>
      <sz val="11"/>
      <color theme="9"/>
      <name val="Times New Roman"/>
      <family val="1"/>
    </font>
    <font>
      <b/>
      <u val="singleAccounting"/>
      <sz val="11"/>
      <color theme="9"/>
      <name val="Times New Roman"/>
      <family val="1"/>
    </font>
    <font>
      <sz val="9"/>
      <color indexed="14"/>
      <name val="Times New Roman"/>
      <family val="1"/>
    </font>
    <font>
      <b/>
      <strike/>
      <sz val="11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sz val="10"/>
      <color theme="1"/>
      <name val="Arial"/>
      <family val="2"/>
    </font>
    <font>
      <strike/>
      <sz val="12"/>
      <color theme="1"/>
      <name val="Times New Roman"/>
      <family val="1"/>
    </font>
    <font>
      <b/>
      <u val="doubleAccounting"/>
      <sz val="12"/>
      <color theme="1"/>
      <name val="Times New Roman"/>
      <family val="1"/>
    </font>
    <font>
      <b/>
      <u val="singleAccounting"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u val="double"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1">
    <xf numFmtId="0" fontId="0" fillId="0" borderId="0" xfId="0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 applyAlignment="1">
      <alignment horizontal="justify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NumberFormat="1" applyFont="1" applyFill="1"/>
    <xf numFmtId="165" fontId="7" fillId="0" borderId="0" xfId="1" applyNumberFormat="1" applyFont="1" applyFill="1" applyBorder="1"/>
    <xf numFmtId="165" fontId="2" fillId="0" borderId="0" xfId="1" applyNumberFormat="1" applyFont="1" applyFill="1"/>
    <xf numFmtId="0" fontId="3" fillId="0" borderId="0" xfId="0" applyFont="1" applyFill="1" applyAlignment="1">
      <alignment vertical="center"/>
    </xf>
    <xf numFmtId="165" fontId="8" fillId="0" borderId="0" xfId="1" applyNumberFormat="1" applyFont="1" applyFill="1"/>
    <xf numFmtId="165" fontId="9" fillId="0" borderId="0" xfId="1" applyNumberFormat="1" applyFont="1" applyFill="1"/>
    <xf numFmtId="165" fontId="3" fillId="0" borderId="0" xfId="0" applyNumberFormat="1" applyFont="1" applyFill="1"/>
    <xf numFmtId="0" fontId="10" fillId="0" borderId="0" xfId="0" applyFont="1" applyBorder="1" applyAlignment="1">
      <alignment horizontal="justify" vertical="top" wrapText="1"/>
    </xf>
    <xf numFmtId="3" fontId="10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/>
    <xf numFmtId="0" fontId="11" fillId="0" borderId="0" xfId="0" applyFont="1"/>
    <xf numFmtId="0" fontId="10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0" fillId="0" borderId="0" xfId="0" applyFont="1" applyBorder="1"/>
    <xf numFmtId="0" fontId="2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3" fontId="15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Border="1" applyAlignment="1">
      <alignment horizontal="right" vertical="top" wrapText="1"/>
    </xf>
    <xf numFmtId="167" fontId="17" fillId="0" borderId="0" xfId="1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166" fontId="11" fillId="0" borderId="0" xfId="1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center" wrapText="1"/>
    </xf>
    <xf numFmtId="166" fontId="10" fillId="0" borderId="0" xfId="1" applyNumberFormat="1" applyFont="1"/>
    <xf numFmtId="0" fontId="3" fillId="0" borderId="0" xfId="0" applyFont="1" applyAlignment="1">
      <alignment vertical="center"/>
    </xf>
    <xf numFmtId="3" fontId="14" fillId="0" borderId="0" xfId="0" applyNumberFormat="1" applyFont="1" applyBorder="1"/>
    <xf numFmtId="167" fontId="10" fillId="0" borderId="0" xfId="1" applyNumberFormat="1" applyFont="1" applyAlignment="1">
      <alignment vertical="center"/>
    </xf>
    <xf numFmtId="3" fontId="18" fillId="0" borderId="0" xfId="0" applyNumberFormat="1" applyFont="1"/>
    <xf numFmtId="0" fontId="10" fillId="0" borderId="0" xfId="0" applyFont="1" applyBorder="1" applyAlignment="1">
      <alignment vertical="top" wrapText="1"/>
    </xf>
    <xf numFmtId="0" fontId="19" fillId="0" borderId="0" xfId="0" applyFont="1"/>
    <xf numFmtId="164" fontId="10" fillId="0" borderId="0" xfId="1" applyFont="1" applyBorder="1" applyAlignment="1">
      <alignment horizontal="right" vertical="top" wrapText="1"/>
    </xf>
    <xf numFmtId="165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41" fontId="20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66" fontId="3" fillId="0" borderId="0" xfId="1" applyNumberFormat="1" applyFont="1" applyBorder="1" applyAlignment="1">
      <alignment vertical="center"/>
    </xf>
    <xf numFmtId="165" fontId="2" fillId="0" borderId="0" xfId="1" applyNumberFormat="1" applyFont="1" applyBorder="1"/>
    <xf numFmtId="165" fontId="3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justify"/>
    </xf>
    <xf numFmtId="166" fontId="3" fillId="0" borderId="0" xfId="1" applyNumberFormat="1" applyFont="1" applyBorder="1" applyAlignment="1">
      <alignment horizontal="justify" vertical="center" wrapText="1"/>
    </xf>
    <xf numFmtId="165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horizontal="justify" vertical="center" wrapText="1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Border="1" applyAlignment="1">
      <alignment horizontal="justify" vertical="center" wrapText="1"/>
    </xf>
    <xf numFmtId="165" fontId="7" fillId="0" borderId="0" xfId="1" applyNumberFormat="1" applyFont="1" applyBorder="1"/>
    <xf numFmtId="165" fontId="3" fillId="0" borderId="0" xfId="1" applyNumberFormat="1" applyFont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4" fontId="3" fillId="0" borderId="0" xfId="1" applyFont="1" applyBorder="1" applyAlignment="1">
      <alignment horizontal="left"/>
    </xf>
    <xf numFmtId="165" fontId="5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justify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Fill="1" applyBorder="1" applyAlignment="1">
      <alignment vertical="center"/>
    </xf>
    <xf numFmtId="165" fontId="3" fillId="0" borderId="0" xfId="1" applyNumberFormat="1" applyFont="1" applyBorder="1"/>
    <xf numFmtId="165" fontId="8" fillId="0" borderId="0" xfId="1" applyNumberFormat="1" applyFont="1" applyBorder="1" applyAlignment="1">
      <alignment horizontal="center" vertical="center"/>
    </xf>
    <xf numFmtId="164" fontId="3" fillId="0" borderId="0" xfId="1" applyFont="1" applyBorder="1"/>
    <xf numFmtId="165" fontId="3" fillId="0" borderId="0" xfId="1" applyNumberFormat="1" applyFont="1" applyBorder="1" applyAlignment="1">
      <alignment horizontal="left" vertical="center" wrapText="1"/>
    </xf>
    <xf numFmtId="165" fontId="2" fillId="0" borderId="0" xfId="1" applyNumberFormat="1" applyFont="1" applyBorder="1" applyAlignment="1">
      <alignment horizontal="justify" wrapText="1"/>
    </xf>
    <xf numFmtId="166" fontId="2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vertical="center"/>
    </xf>
    <xf numFmtId="165" fontId="20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Border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5" fontId="22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165" fontId="25" fillId="0" borderId="0" xfId="1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11" fillId="0" borderId="0" xfId="0" applyFont="1" applyFill="1" applyBorder="1"/>
    <xf numFmtId="0" fontId="4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0" xfId="0" applyFont="1" applyFill="1"/>
    <xf numFmtId="41" fontId="4" fillId="0" borderId="0" xfId="0" applyNumberFormat="1" applyFont="1" applyFill="1" applyAlignment="1">
      <alignment horizontal="center" vertical="center"/>
    </xf>
    <xf numFmtId="41" fontId="2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/>
    <xf numFmtId="165" fontId="27" fillId="0" borderId="0" xfId="1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Fill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1" fontId="33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2" borderId="0" xfId="0" applyNumberFormat="1" applyFont="1" applyFill="1" applyAlignment="1">
      <alignment vertical="center"/>
    </xf>
    <xf numFmtId="43" fontId="21" fillId="0" borderId="0" xfId="0" applyNumberFormat="1" applyFont="1" applyFill="1" applyAlignment="1">
      <alignment horizontal="center" vertical="center"/>
    </xf>
    <xf numFmtId="43" fontId="21" fillId="0" borderId="0" xfId="0" applyNumberFormat="1" applyFont="1" applyFill="1" applyAlignment="1">
      <alignment vertical="center"/>
    </xf>
    <xf numFmtId="164" fontId="21" fillId="0" borderId="0" xfId="1" applyFont="1" applyFill="1" applyAlignment="1">
      <alignment horizontal="center" vertical="center"/>
    </xf>
    <xf numFmtId="164" fontId="21" fillId="0" borderId="0" xfId="1" applyFont="1" applyFill="1" applyAlignment="1">
      <alignment vertical="center"/>
    </xf>
    <xf numFmtId="43" fontId="20" fillId="0" borderId="0" xfId="0" applyNumberFormat="1" applyFont="1" applyFill="1" applyAlignment="1">
      <alignment horizontal="center" vertical="center"/>
    </xf>
    <xf numFmtId="164" fontId="20" fillId="0" borderId="0" xfId="1" applyFont="1" applyFill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3" fontId="20" fillId="0" borderId="0" xfId="0" applyNumberFormat="1" applyFont="1" applyAlignment="1">
      <alignment vertical="center"/>
    </xf>
    <xf numFmtId="164" fontId="4" fillId="0" borderId="0" xfId="1" applyFont="1" applyAlignment="1">
      <alignment vertical="center"/>
    </xf>
    <xf numFmtId="164" fontId="20" fillId="0" borderId="0" xfId="1" applyFont="1" applyAlignment="1">
      <alignment vertical="center"/>
    </xf>
    <xf numFmtId="43" fontId="20" fillId="0" borderId="0" xfId="0" applyNumberFormat="1" applyFont="1" applyFill="1" applyAlignment="1">
      <alignment vertical="center"/>
    </xf>
    <xf numFmtId="164" fontId="20" fillId="0" borderId="0" xfId="1" applyFont="1" applyFill="1" applyAlignment="1">
      <alignment vertical="center"/>
    </xf>
    <xf numFmtId="43" fontId="34" fillId="0" borderId="0" xfId="0" applyNumberFormat="1" applyFont="1" applyFill="1" applyAlignment="1">
      <alignment vertical="center"/>
    </xf>
    <xf numFmtId="41" fontId="35" fillId="0" borderId="0" xfId="0" applyNumberFormat="1" applyFont="1" applyAlignment="1">
      <alignment vertical="center"/>
    </xf>
    <xf numFmtId="168" fontId="20" fillId="0" borderId="0" xfId="1" applyNumberFormat="1" applyFont="1" applyFill="1" applyAlignment="1">
      <alignment horizontal="center" vertical="center"/>
    </xf>
    <xf numFmtId="164" fontId="34" fillId="0" borderId="0" xfId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43" fontId="36" fillId="0" borderId="0" xfId="0" applyNumberFormat="1" applyFont="1" applyFill="1" applyAlignment="1">
      <alignment horizontal="center" vertical="center"/>
    </xf>
    <xf numFmtId="43" fontId="37" fillId="0" borderId="0" xfId="0" applyNumberFormat="1" applyFont="1" applyFill="1" applyAlignment="1">
      <alignment vertical="center"/>
    </xf>
    <xf numFmtId="164" fontId="20" fillId="2" borderId="0" xfId="1" applyFont="1" applyFill="1" applyAlignment="1">
      <alignment vertical="center"/>
    </xf>
    <xf numFmtId="164" fontId="26" fillId="2" borderId="0" xfId="1" applyFont="1" applyFill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165" fontId="10" fillId="0" borderId="0" xfId="1" applyNumberFormat="1" applyFont="1" applyBorder="1" applyAlignment="1">
      <alignment horizontal="right" vertical="center" wrapText="1"/>
    </xf>
    <xf numFmtId="165" fontId="41" fillId="0" borderId="0" xfId="1" applyNumberFormat="1" applyFont="1" applyAlignment="1">
      <alignment horizontal="left"/>
    </xf>
    <xf numFmtId="165" fontId="42" fillId="0" borderId="0" xfId="1" applyNumberFormat="1" applyFont="1"/>
    <xf numFmtId="165" fontId="41" fillId="0" borderId="0" xfId="1" applyNumberFormat="1" applyFont="1" applyAlignment="1">
      <alignment horizontal="center"/>
    </xf>
    <xf numFmtId="166" fontId="3" fillId="0" borderId="0" xfId="1" applyNumberFormat="1" applyFont="1"/>
    <xf numFmtId="166" fontId="41" fillId="0" borderId="0" xfId="1" applyNumberFormat="1" applyFont="1" applyAlignment="1">
      <alignment horizontal="left"/>
    </xf>
    <xf numFmtId="165" fontId="3" fillId="0" borderId="0" xfId="1" applyNumberFormat="1" applyFont="1"/>
    <xf numFmtId="165" fontId="11" fillId="0" borderId="0" xfId="1" applyNumberFormat="1" applyFont="1" applyFill="1" applyBorder="1"/>
    <xf numFmtId="165" fontId="5" fillId="0" borderId="0" xfId="1" applyNumberFormat="1" applyFont="1"/>
    <xf numFmtId="165" fontId="2" fillId="0" borderId="0" xfId="1" applyNumberFormat="1" applyFont="1"/>
    <xf numFmtId="165" fontId="8" fillId="0" borderId="0" xfId="1" applyNumberFormat="1" applyFont="1"/>
    <xf numFmtId="165" fontId="9" fillId="0" borderId="0" xfId="1" applyNumberFormat="1" applyFont="1"/>
    <xf numFmtId="165" fontId="11" fillId="0" borderId="0" xfId="1" applyNumberFormat="1" applyFont="1" applyFill="1" applyAlignment="1">
      <alignment vertical="center"/>
    </xf>
    <xf numFmtId="165" fontId="10" fillId="0" borderId="0" xfId="1" applyNumberFormat="1" applyFont="1"/>
    <xf numFmtId="165" fontId="44" fillId="0" borderId="0" xfId="1" applyNumberFormat="1" applyFont="1" applyAlignment="1">
      <alignment horizontal="center"/>
    </xf>
    <xf numFmtId="165" fontId="11" fillId="0" borderId="0" xfId="1" applyNumberFormat="1" applyFont="1"/>
    <xf numFmtId="165" fontId="16" fillId="0" borderId="0" xfId="1" applyNumberFormat="1" applyFont="1"/>
    <xf numFmtId="165" fontId="17" fillId="0" borderId="0" xfId="1" applyNumberFormat="1" applyFont="1"/>
    <xf numFmtId="165" fontId="45" fillId="0" borderId="0" xfId="1" applyNumberFormat="1" applyFont="1"/>
    <xf numFmtId="165" fontId="46" fillId="0" borderId="0" xfId="1" applyNumberFormat="1" applyFont="1" applyBorder="1"/>
    <xf numFmtId="165" fontId="8" fillId="0" borderId="0" xfId="1" applyNumberFormat="1" applyFont="1" applyBorder="1"/>
    <xf numFmtId="164" fontId="48" fillId="0" borderId="1" xfId="1" applyFont="1" applyBorder="1"/>
    <xf numFmtId="164" fontId="0" fillId="0" borderId="2" xfId="1" applyFont="1" applyBorder="1"/>
    <xf numFmtId="164" fontId="0" fillId="0" borderId="3" xfId="1" applyFont="1" applyBorder="1"/>
    <xf numFmtId="164" fontId="0" fillId="0" borderId="4" xfId="1" applyFont="1" applyBorder="1"/>
    <xf numFmtId="164" fontId="0" fillId="0" borderId="5" xfId="1" applyFont="1" applyBorder="1"/>
    <xf numFmtId="164" fontId="0" fillId="0" borderId="6" xfId="1" applyFont="1" applyBorder="1"/>
    <xf numFmtId="164" fontId="48" fillId="0" borderId="4" xfId="1" applyFont="1" applyBorder="1"/>
    <xf numFmtId="164" fontId="0" fillId="0" borderId="5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164" fontId="40" fillId="0" borderId="5" xfId="1" applyFont="1" applyBorder="1" applyAlignment="1">
      <alignment horizontal="center"/>
    </xf>
    <xf numFmtId="164" fontId="40" fillId="0" borderId="6" xfId="1" applyFont="1" applyBorder="1" applyAlignment="1">
      <alignment horizontal="center"/>
    </xf>
    <xf numFmtId="164" fontId="49" fillId="0" borderId="4" xfId="1" applyFont="1" applyBorder="1"/>
    <xf numFmtId="164" fontId="50" fillId="0" borderId="5" xfId="1" applyFont="1" applyBorder="1" applyAlignment="1">
      <alignment horizontal="left"/>
    </xf>
    <xf numFmtId="164" fontId="51" fillId="0" borderId="5" xfId="1" applyFont="1" applyBorder="1" applyAlignment="1">
      <alignment horizontal="left"/>
    </xf>
    <xf numFmtId="164" fontId="1" fillId="0" borderId="5" xfId="1" applyFont="1" applyBorder="1" applyAlignment="1">
      <alignment horizontal="left"/>
    </xf>
    <xf numFmtId="164" fontId="1" fillId="0" borderId="6" xfId="1" applyFont="1" applyBorder="1" applyAlignment="1">
      <alignment horizontal="left"/>
    </xf>
    <xf numFmtId="164" fontId="49" fillId="0" borderId="7" xfId="1" applyFont="1" applyBorder="1"/>
    <xf numFmtId="164" fontId="50" fillId="0" borderId="8" xfId="1" applyFont="1" applyBorder="1" applyAlignment="1">
      <alignment horizontal="left"/>
    </xf>
    <xf numFmtId="164" fontId="50" fillId="0" borderId="9" xfId="1" applyFont="1" applyBorder="1" applyAlignment="1">
      <alignment horizontal="left"/>
    </xf>
    <xf numFmtId="164" fontId="49" fillId="0" borderId="0" xfId="1" applyFont="1" applyBorder="1"/>
    <xf numFmtId="164" fontId="50" fillId="0" borderId="0" xfId="1" applyFont="1" applyBorder="1" applyAlignment="1">
      <alignment horizontal="left"/>
    </xf>
    <xf numFmtId="164" fontId="1" fillId="0" borderId="0" xfId="1" applyFont="1" applyBorder="1" applyAlignment="1">
      <alignment horizontal="left"/>
    </xf>
    <xf numFmtId="164" fontId="52" fillId="0" borderId="5" xfId="1" applyFont="1" applyBorder="1" applyAlignment="1">
      <alignment horizontal="left"/>
    </xf>
    <xf numFmtId="164" fontId="41" fillId="0" borderId="10" xfId="1" applyFont="1" applyBorder="1"/>
    <xf numFmtId="164" fontId="50" fillId="0" borderId="11" xfId="1" applyFont="1" applyBorder="1" applyAlignment="1">
      <alignment horizontal="left"/>
    </xf>
    <xf numFmtId="164" fontId="52" fillId="0" borderId="11" xfId="1" applyFont="1" applyBorder="1" applyAlignment="1">
      <alignment horizontal="left"/>
    </xf>
    <xf numFmtId="164" fontId="1" fillId="0" borderId="11" xfId="1" applyFont="1" applyBorder="1" applyAlignment="1">
      <alignment horizontal="left"/>
    </xf>
    <xf numFmtId="164" fontId="49" fillId="0" borderId="10" xfId="1" applyFont="1" applyBorder="1"/>
    <xf numFmtId="164" fontId="1" fillId="0" borderId="12" xfId="1" applyFont="1" applyBorder="1" applyAlignment="1">
      <alignment horizontal="left"/>
    </xf>
    <xf numFmtId="164" fontId="1" fillId="0" borderId="2" xfId="1" applyFont="1" applyBorder="1" applyAlignment="1">
      <alignment horizontal="left"/>
    </xf>
    <xf numFmtId="164" fontId="1" fillId="0" borderId="3" xfId="1" applyFont="1" applyBorder="1" applyAlignment="1">
      <alignment horizontal="left"/>
    </xf>
    <xf numFmtId="164" fontId="49" fillId="0" borderId="4" xfId="1" applyFont="1" applyBorder="1" applyAlignment="1">
      <alignment vertical="center"/>
    </xf>
    <xf numFmtId="164" fontId="53" fillId="0" borderId="5" xfId="1" applyFont="1" applyBorder="1" applyAlignment="1">
      <alignment horizontal="center"/>
    </xf>
    <xf numFmtId="164" fontId="53" fillId="0" borderId="6" xfId="1" applyFont="1" applyBorder="1" applyAlignment="1">
      <alignment horizontal="center"/>
    </xf>
    <xf numFmtId="164" fontId="0" fillId="0" borderId="4" xfId="1" applyFont="1" applyBorder="1" applyAlignment="1">
      <alignment horizontal="left"/>
    </xf>
    <xf numFmtId="164" fontId="1" fillId="0" borderId="5" xfId="1" applyFont="1" applyBorder="1" applyAlignment="1">
      <alignment horizontal="center"/>
    </xf>
    <xf numFmtId="164" fontId="1" fillId="0" borderId="6" xfId="1" applyFont="1" applyBorder="1" applyAlignment="1">
      <alignment horizontal="center"/>
    </xf>
    <xf numFmtId="164" fontId="48" fillId="0" borderId="5" xfId="1" applyFont="1" applyBorder="1" applyAlignment="1">
      <alignment horizontal="left"/>
    </xf>
    <xf numFmtId="164" fontId="48" fillId="0" borderId="6" xfId="1" applyFont="1" applyBorder="1" applyAlignment="1">
      <alignment horizontal="left"/>
    </xf>
    <xf numFmtId="164" fontId="1" fillId="0" borderId="7" xfId="1" applyFont="1" applyBorder="1" applyAlignment="1">
      <alignment horizontal="left"/>
    </xf>
    <xf numFmtId="164" fontId="1" fillId="0" borderId="8" xfId="1" applyFont="1" applyBorder="1" applyAlignment="1">
      <alignment horizontal="left"/>
    </xf>
    <xf numFmtId="164" fontId="54" fillId="0" borderId="0" xfId="1" applyFont="1" applyBorder="1" applyAlignment="1">
      <alignment horizontal="left"/>
    </xf>
    <xf numFmtId="164" fontId="48" fillId="0" borderId="2" xfId="1" applyFont="1" applyBorder="1" applyAlignment="1">
      <alignment horizontal="left"/>
    </xf>
    <xf numFmtId="164" fontId="48" fillId="0" borderId="3" xfId="1" applyFont="1" applyBorder="1" applyAlignment="1">
      <alignment horizontal="left"/>
    </xf>
    <xf numFmtId="164" fontId="48" fillId="0" borderId="4" xfId="1" applyFont="1" applyBorder="1" applyAlignment="1">
      <alignment horizontal="left"/>
    </xf>
    <xf numFmtId="164" fontId="48" fillId="0" borderId="5" xfId="1" applyFont="1" applyBorder="1" applyAlignment="1">
      <alignment horizontal="center"/>
    </xf>
    <xf numFmtId="164" fontId="48" fillId="0" borderId="6" xfId="1" applyFont="1" applyBorder="1" applyAlignment="1">
      <alignment horizontal="center"/>
    </xf>
    <xf numFmtId="164" fontId="55" fillId="0" borderId="5" xfId="1" applyFont="1" applyBorder="1" applyAlignment="1">
      <alignment horizontal="center"/>
    </xf>
    <xf numFmtId="164" fontId="55" fillId="0" borderId="6" xfId="1" applyFont="1" applyBorder="1" applyAlignment="1">
      <alignment horizontal="center"/>
    </xf>
    <xf numFmtId="164" fontId="1" fillId="0" borderId="4" xfId="1" applyFont="1" applyBorder="1" applyAlignment="1">
      <alignment horizontal="left"/>
    </xf>
    <xf numFmtId="164" fontId="56" fillId="0" borderId="4" xfId="1" applyFont="1" applyBorder="1"/>
    <xf numFmtId="164" fontId="51" fillId="0" borderId="4" xfId="1" applyFont="1" applyBorder="1" applyAlignment="1">
      <alignment horizontal="left"/>
    </xf>
    <xf numFmtId="164" fontId="53" fillId="0" borderId="5" xfId="1" applyFont="1" applyBorder="1" applyAlignment="1">
      <alignment horizontal="left"/>
    </xf>
    <xf numFmtId="164" fontId="48" fillId="0" borderId="7" xfId="1" applyFont="1" applyBorder="1" applyAlignment="1">
      <alignment horizontal="left"/>
    </xf>
    <xf numFmtId="164" fontId="48" fillId="0" borderId="8" xfId="1" applyFont="1" applyBorder="1" applyAlignment="1">
      <alignment horizontal="left"/>
    </xf>
    <xf numFmtId="164" fontId="0" fillId="0" borderId="0" xfId="1" applyFont="1" applyBorder="1" applyAlignment="1">
      <alignment horizontal="left"/>
    </xf>
    <xf numFmtId="164" fontId="48" fillId="0" borderId="0" xfId="1" applyFont="1" applyBorder="1" applyAlignment="1">
      <alignment horizontal="left"/>
    </xf>
    <xf numFmtId="164" fontId="54" fillId="0" borderId="2" xfId="1" applyFont="1" applyBorder="1" applyAlignment="1">
      <alignment horizontal="left"/>
    </xf>
    <xf numFmtId="164" fontId="54" fillId="0" borderId="3" xfId="1" applyFont="1" applyBorder="1" applyAlignment="1">
      <alignment horizontal="left"/>
    </xf>
    <xf numFmtId="164" fontId="54" fillId="0" borderId="5" xfId="1" applyFont="1" applyBorder="1" applyAlignment="1">
      <alignment horizontal="left"/>
    </xf>
    <xf numFmtId="164" fontId="54" fillId="0" borderId="6" xfId="1" applyFont="1" applyBorder="1" applyAlignment="1">
      <alignment horizontal="left"/>
    </xf>
    <xf numFmtId="164" fontId="57" fillId="0" borderId="5" xfId="1" applyFont="1" applyBorder="1" applyAlignment="1">
      <alignment horizontal="center"/>
    </xf>
    <xf numFmtId="164" fontId="57" fillId="0" borderId="6" xfId="1" applyFont="1" applyBorder="1" applyAlignment="1">
      <alignment horizontal="center"/>
    </xf>
    <xf numFmtId="164" fontId="50" fillId="0" borderId="4" xfId="1" applyFont="1" applyBorder="1" applyAlignment="1">
      <alignment horizontal="left"/>
    </xf>
    <xf numFmtId="164" fontId="58" fillId="0" borderId="5" xfId="1" applyFont="1" applyBorder="1" applyAlignment="1">
      <alignment horizontal="left"/>
    </xf>
    <xf numFmtId="164" fontId="52" fillId="0" borderId="8" xfId="1" applyFont="1" applyBorder="1" applyAlignment="1">
      <alignment horizontal="left"/>
    </xf>
    <xf numFmtId="164" fontId="59" fillId="0" borderId="5" xfId="1" applyFont="1" applyBorder="1" applyAlignment="1">
      <alignment horizontal="left"/>
    </xf>
    <xf numFmtId="164" fontId="1" fillId="0" borderId="13" xfId="1" applyFont="1" applyBorder="1" applyAlignment="1">
      <alignment horizontal="left"/>
    </xf>
    <xf numFmtId="164" fontId="1" fillId="0" borderId="14" xfId="1" applyFont="1" applyBorder="1" applyAlignment="1">
      <alignment horizontal="left"/>
    </xf>
    <xf numFmtId="164" fontId="0" fillId="0" borderId="10" xfId="1" applyFont="1" applyBorder="1" applyAlignment="1">
      <alignment horizontal="left"/>
    </xf>
    <xf numFmtId="164" fontId="48" fillId="0" borderId="11" xfId="1" applyFont="1" applyBorder="1" applyAlignment="1">
      <alignment horizontal="left"/>
    </xf>
    <xf numFmtId="164" fontId="58" fillId="0" borderId="0" xfId="1" applyFont="1" applyBorder="1" applyAlignment="1">
      <alignment horizontal="left"/>
    </xf>
    <xf numFmtId="164" fontId="1" fillId="0" borderId="10" xfId="1" applyFont="1" applyBorder="1" applyAlignment="1">
      <alignment horizontal="left"/>
    </xf>
    <xf numFmtId="164" fontId="59" fillId="0" borderId="11" xfId="1" applyFont="1" applyBorder="1" applyAlignment="1">
      <alignment horizontal="left"/>
    </xf>
    <xf numFmtId="43" fontId="0" fillId="0" borderId="0" xfId="0" applyNumberFormat="1"/>
    <xf numFmtId="165" fontId="0" fillId="0" borderId="0" xfId="1" applyNumberFormat="1" applyFont="1"/>
    <xf numFmtId="164" fontId="2" fillId="0" borderId="0" xfId="1" applyFont="1" applyBorder="1" applyAlignment="1">
      <alignment horizontal="left"/>
    </xf>
    <xf numFmtId="165" fontId="48" fillId="0" borderId="0" xfId="1" applyNumberFormat="1" applyFont="1" applyAlignment="1">
      <alignment horizontal="center"/>
    </xf>
    <xf numFmtId="165" fontId="48" fillId="0" borderId="0" xfId="1" applyNumberFormat="1" applyFont="1"/>
    <xf numFmtId="165" fontId="54" fillId="0" borderId="0" xfId="1" applyNumberFormat="1" applyFont="1"/>
    <xf numFmtId="165" fontId="58" fillId="0" borderId="0" xfId="1" applyNumberFormat="1" applyFont="1"/>
    <xf numFmtId="165" fontId="0" fillId="0" borderId="0" xfId="1" applyNumberFormat="1" applyFont="1" applyBorder="1"/>
    <xf numFmtId="164" fontId="56" fillId="0" borderId="0" xfId="1" applyFont="1" applyBorder="1"/>
    <xf numFmtId="164" fontId="51" fillId="0" borderId="0" xfId="1" applyFont="1" applyBorder="1" applyAlignment="1">
      <alignment horizontal="left"/>
    </xf>
    <xf numFmtId="164" fontId="43" fillId="0" borderId="0" xfId="1" applyFont="1" applyBorder="1"/>
    <xf numFmtId="165" fontId="40" fillId="0" borderId="0" xfId="1" applyNumberFormat="1" applyFont="1" applyAlignment="1">
      <alignment horizontal="center"/>
    </xf>
    <xf numFmtId="165" fontId="53" fillId="0" borderId="0" xfId="1" applyNumberFormat="1" applyFont="1" applyAlignment="1">
      <alignment horizontal="center"/>
    </xf>
    <xf numFmtId="165" fontId="49" fillId="0" borderId="1" xfId="1" applyNumberFormat="1" applyFont="1" applyBorder="1" applyAlignment="1">
      <alignment vertical="center"/>
    </xf>
    <xf numFmtId="165" fontId="0" fillId="0" borderId="2" xfId="1" applyNumberFormat="1" applyFont="1" applyBorder="1"/>
    <xf numFmtId="165" fontId="0" fillId="0" borderId="3" xfId="1" applyNumberFormat="1" applyFont="1" applyBorder="1"/>
    <xf numFmtId="165" fontId="49" fillId="0" borderId="4" xfId="1" applyNumberFormat="1" applyFont="1" applyBorder="1" applyAlignment="1">
      <alignment vertical="center"/>
    </xf>
    <xf numFmtId="165" fontId="48" fillId="0" borderId="5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41" fillId="0" borderId="4" xfId="1" applyNumberFormat="1" applyFont="1" applyBorder="1" applyAlignment="1">
      <alignment vertical="center"/>
    </xf>
    <xf numFmtId="165" fontId="43" fillId="0" borderId="4" xfId="1" applyNumberFormat="1" applyFont="1" applyBorder="1" applyAlignment="1">
      <alignment vertical="center"/>
    </xf>
    <xf numFmtId="0" fontId="60" fillId="0" borderId="5" xfId="0" applyFont="1" applyBorder="1" applyAlignment="1">
      <alignment horizontal="left" vertical="top" wrapText="1"/>
    </xf>
    <xf numFmtId="0" fontId="51" fillId="0" borderId="5" xfId="0" applyFont="1" applyBorder="1" applyAlignment="1">
      <alignment horizontal="left"/>
    </xf>
    <xf numFmtId="0" fontId="61" fillId="0" borderId="5" xfId="0" applyFont="1" applyBorder="1" applyAlignment="1">
      <alignment horizontal="left" vertical="top" wrapText="1"/>
    </xf>
    <xf numFmtId="165" fontId="0" fillId="0" borderId="4" xfId="1" applyNumberFormat="1" applyFont="1" applyBorder="1"/>
    <xf numFmtId="0" fontId="62" fillId="0" borderId="5" xfId="0" applyFont="1" applyBorder="1" applyAlignment="1">
      <alignment horizontal="left" vertical="center" wrapText="1"/>
    </xf>
    <xf numFmtId="164" fontId="56" fillId="0" borderId="5" xfId="1" applyFont="1" applyBorder="1"/>
    <xf numFmtId="0" fontId="63" fillId="0" borderId="5" xfId="0" applyFont="1" applyBorder="1" applyAlignment="1">
      <alignment horizontal="left" vertical="center" wrapText="1"/>
    </xf>
    <xf numFmtId="0" fontId="41" fillId="0" borderId="4" xfId="0" applyFont="1" applyBorder="1" applyAlignment="1">
      <alignment vertical="center"/>
    </xf>
    <xf numFmtId="0" fontId="43" fillId="0" borderId="4" xfId="0" applyFont="1" applyBorder="1" applyAlignment="1">
      <alignment vertical="center"/>
    </xf>
    <xf numFmtId="0" fontId="64" fillId="0" borderId="5" xfId="0" applyFont="1" applyBorder="1" applyAlignment="1">
      <alignment horizontal="left"/>
    </xf>
    <xf numFmtId="0" fontId="43" fillId="0" borderId="7" xfId="0" applyFont="1" applyBorder="1" applyAlignment="1">
      <alignment vertical="center"/>
    </xf>
    <xf numFmtId="165" fontId="0" fillId="0" borderId="8" xfId="1" applyNumberFormat="1" applyFont="1" applyBorder="1"/>
    <xf numFmtId="165" fontId="54" fillId="0" borderId="8" xfId="1" applyNumberFormat="1" applyFont="1" applyBorder="1"/>
    <xf numFmtId="164" fontId="0" fillId="0" borderId="5" xfId="1" applyFont="1" applyBorder="1" applyAlignment="1">
      <alignment horizontal="left"/>
    </xf>
    <xf numFmtId="0" fontId="0" fillId="0" borderId="5" xfId="0" applyBorder="1" applyAlignment="1">
      <alignment horizontal="left" vertical="center"/>
    </xf>
    <xf numFmtId="165" fontId="1" fillId="0" borderId="0" xfId="1" applyNumberFormat="1" applyFont="1"/>
    <xf numFmtId="165" fontId="0" fillId="3" borderId="5" xfId="1" applyNumberFormat="1" applyFont="1" applyFill="1" applyBorder="1"/>
    <xf numFmtId="165" fontId="54" fillId="3" borderId="8" xfId="1" applyNumberFormat="1" applyFont="1" applyFill="1" applyBorder="1"/>
    <xf numFmtId="0" fontId="0" fillId="0" borderId="0" xfId="0" applyFill="1"/>
    <xf numFmtId="165" fontId="0" fillId="0" borderId="2" xfId="1" applyNumberFormat="1" applyFont="1" applyFill="1" applyBorder="1"/>
    <xf numFmtId="165" fontId="0" fillId="0" borderId="5" xfId="1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7" fontId="11" fillId="0" borderId="0" xfId="1" applyNumberFormat="1" applyFont="1" applyBorder="1" applyAlignment="1">
      <alignment horizontal="right" vertical="top" wrapText="1"/>
    </xf>
    <xf numFmtId="165" fontId="17" fillId="0" borderId="0" xfId="1" applyNumberFormat="1" applyFont="1" applyBorder="1" applyAlignment="1">
      <alignment horizontal="right" vertical="center" wrapText="1"/>
    </xf>
    <xf numFmtId="165" fontId="14" fillId="0" borderId="0" xfId="1" applyNumberFormat="1" applyFont="1" applyBorder="1"/>
    <xf numFmtId="3" fontId="65" fillId="0" borderId="0" xfId="0" applyNumberFormat="1" applyFont="1"/>
    <xf numFmtId="165" fontId="16" fillId="0" borderId="0" xfId="1" applyNumberFormat="1" applyFont="1" applyBorder="1" applyAlignment="1">
      <alignment horizontal="right" vertical="center" wrapText="1"/>
    </xf>
    <xf numFmtId="165" fontId="16" fillId="0" borderId="0" xfId="1" applyNumberFormat="1" applyFont="1" applyBorder="1"/>
    <xf numFmtId="165" fontId="16" fillId="0" borderId="0" xfId="1" applyNumberFormat="1" applyFont="1" applyBorder="1" applyAlignment="1">
      <alignment horizontal="right" vertical="top" wrapText="1"/>
    </xf>
    <xf numFmtId="165" fontId="17" fillId="0" borderId="0" xfId="1" applyNumberFormat="1" applyFont="1" applyBorder="1" applyAlignment="1">
      <alignment horizontal="right" vertical="top" wrapText="1"/>
    </xf>
    <xf numFmtId="41" fontId="21" fillId="0" borderId="0" xfId="0" applyNumberFormat="1" applyFont="1" applyFill="1" applyAlignment="1">
      <alignment horizontal="center"/>
    </xf>
    <xf numFmtId="41" fontId="4" fillId="0" borderId="0" xfId="0" applyNumberFormat="1" applyFont="1" applyFill="1" applyAlignment="1">
      <alignment horizontal="center"/>
    </xf>
    <xf numFmtId="41" fontId="26" fillId="0" borderId="0" xfId="0" applyNumberFormat="1" applyFont="1" applyFill="1" applyAlignment="1">
      <alignment horizontal="center"/>
    </xf>
    <xf numFmtId="165" fontId="66" fillId="0" borderId="0" xfId="1" applyNumberFormat="1" applyFont="1" applyBorder="1" applyAlignment="1">
      <alignment horizontal="right" vertical="center" wrapText="1"/>
    </xf>
    <xf numFmtId="165" fontId="66" fillId="0" borderId="0" xfId="1" applyNumberFormat="1" applyFont="1" applyBorder="1" applyAlignment="1">
      <alignment horizontal="center" vertical="center" wrapText="1"/>
    </xf>
    <xf numFmtId="165" fontId="66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5" fontId="26" fillId="0" borderId="0" xfId="1" applyNumberFormat="1" applyFont="1" applyFill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7" fillId="0" borderId="0" xfId="0" applyFont="1" applyFill="1"/>
    <xf numFmtId="0" fontId="69" fillId="0" borderId="0" xfId="0" applyFont="1"/>
    <xf numFmtId="0" fontId="67" fillId="0" borderId="0" xfId="0" applyFont="1"/>
    <xf numFmtId="165" fontId="67" fillId="0" borderId="0" xfId="1" applyNumberFormat="1" applyFont="1" applyFill="1" applyBorder="1"/>
    <xf numFmtId="165" fontId="67" fillId="0" borderId="0" xfId="1" applyNumberFormat="1" applyFont="1" applyBorder="1"/>
    <xf numFmtId="165" fontId="3" fillId="0" borderId="0" xfId="1" applyNumberFormat="1" applyFont="1" applyBorder="1" applyAlignment="1">
      <alignment horizontal="center"/>
    </xf>
    <xf numFmtId="0" fontId="67" fillId="0" borderId="0" xfId="0" applyFont="1" applyFill="1" applyAlignment="1">
      <alignment vertical="center"/>
    </xf>
    <xf numFmtId="165" fontId="67" fillId="0" borderId="0" xfId="1" applyNumberFormat="1" applyFont="1" applyFill="1" applyAlignment="1">
      <alignment vertical="center"/>
    </xf>
    <xf numFmtId="165" fontId="69" fillId="0" borderId="0" xfId="1" applyNumberFormat="1" applyFont="1" applyFill="1" applyAlignment="1">
      <alignment vertical="center"/>
    </xf>
    <xf numFmtId="165" fontId="69" fillId="0" borderId="0" xfId="1" applyNumberFormat="1" applyFont="1" applyFill="1" applyBorder="1"/>
    <xf numFmtId="165" fontId="70" fillId="0" borderId="0" xfId="1" applyNumberFormat="1" applyFont="1"/>
    <xf numFmtId="165" fontId="0" fillId="0" borderId="0" xfId="1" applyNumberFormat="1" applyFont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165" fontId="15" fillId="0" borderId="0" xfId="1" applyNumberFormat="1" applyFont="1" applyBorder="1" applyAlignment="1">
      <alignment horizontal="right" vertical="top" wrapText="1"/>
    </xf>
    <xf numFmtId="165" fontId="10" fillId="0" borderId="0" xfId="1" applyNumberFormat="1" applyFont="1" applyBorder="1" applyAlignment="1">
      <alignment horizontal="right" vertical="top" wrapText="1"/>
    </xf>
    <xf numFmtId="165" fontId="17" fillId="0" borderId="0" xfId="1" applyNumberFormat="1" applyFont="1" applyBorder="1"/>
    <xf numFmtId="165" fontId="11" fillId="0" borderId="0" xfId="1" applyNumberFormat="1" applyFont="1" applyBorder="1"/>
    <xf numFmtId="165" fontId="10" fillId="0" borderId="0" xfId="1" applyNumberFormat="1" applyFont="1" applyBorder="1"/>
    <xf numFmtId="165" fontId="14" fillId="0" borderId="0" xfId="1" applyNumberFormat="1" applyFont="1"/>
    <xf numFmtId="165" fontId="15" fillId="0" borderId="0" xfId="1" applyNumberFormat="1" applyFont="1" applyBorder="1" applyAlignment="1">
      <alignment horizontal="right" vertical="center" wrapText="1"/>
    </xf>
    <xf numFmtId="165" fontId="14" fillId="0" borderId="0" xfId="1" applyNumberFormat="1" applyFont="1" applyBorder="1" applyAlignment="1">
      <alignment horizontal="right"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165" fontId="11" fillId="0" borderId="0" xfId="1" applyNumberFormat="1" applyFont="1" applyBorder="1" applyAlignment="1">
      <alignment horizontal="right" vertical="top" wrapText="1"/>
    </xf>
    <xf numFmtId="165" fontId="14" fillId="0" borderId="0" xfId="1" applyNumberFormat="1" applyFont="1" applyBorder="1" applyAlignment="1">
      <alignment horizontal="right" vertical="top" wrapText="1"/>
    </xf>
    <xf numFmtId="165" fontId="15" fillId="0" borderId="0" xfId="1" applyNumberFormat="1" applyFont="1" applyBorder="1"/>
    <xf numFmtId="165" fontId="65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6</xdr:row>
      <xdr:rowOff>123825</xdr:rowOff>
    </xdr:from>
    <xdr:to>
      <xdr:col>5</xdr:col>
      <xdr:colOff>180975</xdr:colOff>
      <xdr:row>25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00475" y="12096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180975</xdr:colOff>
      <xdr:row>6</xdr:row>
      <xdr:rowOff>123825</xdr:rowOff>
    </xdr:from>
    <xdr:to>
      <xdr:col>5</xdr:col>
      <xdr:colOff>180975</xdr:colOff>
      <xdr:row>25</xdr:row>
      <xdr:rowOff>161925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800475" y="12096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="130" zoomScaleNormal="130" workbookViewId="0">
      <selection activeCell="B16" sqref="B16"/>
    </sheetView>
  </sheetViews>
  <sheetFormatPr defaultRowHeight="15"/>
  <cols>
    <col min="1" max="1" width="10.28515625" style="3" customWidth="1"/>
    <col min="2" max="2" width="9.140625" style="3"/>
    <col min="3" max="3" width="6" style="3" customWidth="1"/>
    <col min="4" max="5" width="6.5703125" style="3" customWidth="1"/>
    <col min="6" max="6" width="14" style="3" customWidth="1"/>
    <col min="7" max="7" width="1.85546875" style="3" customWidth="1"/>
    <col min="8" max="8" width="14.28515625" style="3" customWidth="1"/>
    <col min="9" max="9" width="1.28515625" style="3" customWidth="1"/>
    <col min="10" max="16384" width="9.140625" style="3"/>
  </cols>
  <sheetData>
    <row r="1" spans="1:8">
      <c r="A1" s="1" t="s">
        <v>28</v>
      </c>
      <c r="B1" s="2"/>
      <c r="C1" s="2"/>
      <c r="D1" s="2"/>
      <c r="E1" s="2"/>
      <c r="F1" s="2"/>
      <c r="G1" s="2"/>
      <c r="H1" s="2"/>
    </row>
    <row r="2" spans="1:8">
      <c r="A2" s="1" t="s">
        <v>29</v>
      </c>
      <c r="B2" s="2"/>
      <c r="C2" s="2"/>
      <c r="D2" s="2"/>
      <c r="E2" s="2"/>
      <c r="F2" s="2"/>
      <c r="G2" s="2"/>
      <c r="H2" s="2"/>
    </row>
    <row r="3" spans="1:8">
      <c r="A3" s="4"/>
      <c r="B3" s="2"/>
      <c r="C3" s="2"/>
      <c r="D3" s="2"/>
      <c r="E3" s="2"/>
      <c r="F3" s="2"/>
      <c r="G3" s="2"/>
      <c r="H3" s="2"/>
    </row>
    <row r="4" spans="1:8">
      <c r="A4" s="335" t="s">
        <v>73</v>
      </c>
      <c r="B4" s="2"/>
      <c r="C4" s="2"/>
      <c r="D4" s="2"/>
      <c r="E4" s="2"/>
      <c r="F4" s="2"/>
      <c r="G4" s="2"/>
      <c r="H4" s="6"/>
    </row>
    <row r="5" spans="1:8">
      <c r="A5" s="335" t="s">
        <v>210</v>
      </c>
      <c r="B5" s="2"/>
      <c r="C5" s="2"/>
      <c r="D5" s="2"/>
      <c r="E5" s="2"/>
      <c r="F5" s="2"/>
      <c r="G5" s="2"/>
      <c r="H5" s="6"/>
    </row>
    <row r="6" spans="1:8">
      <c r="A6" s="2"/>
      <c r="B6" s="2"/>
      <c r="C6" s="2"/>
      <c r="D6" s="2"/>
      <c r="E6" s="7" t="s">
        <v>74</v>
      </c>
      <c r="F6" s="8">
        <v>2017</v>
      </c>
      <c r="G6" s="8"/>
      <c r="H6" s="8">
        <v>2016</v>
      </c>
    </row>
    <row r="7" spans="1:8">
      <c r="A7" s="2"/>
      <c r="B7" s="2"/>
      <c r="C7" s="2"/>
      <c r="D7" s="2"/>
      <c r="E7" s="2"/>
      <c r="F7" s="9" t="s">
        <v>0</v>
      </c>
      <c r="G7" s="9"/>
      <c r="H7" s="9" t="s">
        <v>0</v>
      </c>
    </row>
    <row r="8" spans="1:8">
      <c r="A8" s="2"/>
      <c r="B8" s="2"/>
      <c r="C8" s="2"/>
      <c r="D8" s="2"/>
      <c r="E8" s="7"/>
      <c r="F8" s="10"/>
      <c r="G8" s="10"/>
      <c r="H8" s="10"/>
    </row>
    <row r="9" spans="1:8">
      <c r="A9" s="13" t="s">
        <v>90</v>
      </c>
      <c r="B9" s="11"/>
      <c r="C9" s="2"/>
      <c r="D9" s="2"/>
      <c r="E9" s="7">
        <f>'notes 1 '!A13</f>
        <v>1.1000000000000001</v>
      </c>
      <c r="F9" s="12">
        <f>'notes 1 '!E15</f>
        <v>193424147</v>
      </c>
      <c r="G9" s="10"/>
      <c r="H9" s="10">
        <v>242401399</v>
      </c>
    </row>
    <row r="10" spans="1:8">
      <c r="A10" s="13" t="s">
        <v>66</v>
      </c>
      <c r="B10" s="11"/>
      <c r="C10" s="2"/>
      <c r="D10" s="2"/>
      <c r="E10" s="7" t="str">
        <f>'notes 1 '!A19</f>
        <v>1.2.1</v>
      </c>
      <c r="F10" s="12">
        <f>'notes 1 '!E26</f>
        <v>10126000</v>
      </c>
      <c r="G10" s="10"/>
      <c r="H10" s="10">
        <v>34531150</v>
      </c>
    </row>
    <row r="11" spans="1:8">
      <c r="A11" s="13" t="s">
        <v>67</v>
      </c>
      <c r="B11" s="11"/>
      <c r="C11" s="2"/>
      <c r="D11" s="2"/>
      <c r="E11" s="7" t="str">
        <f>'notes 1 '!A27</f>
        <v>1.2.2</v>
      </c>
      <c r="F11" s="12">
        <f>'notes 1 '!E32</f>
        <v>1950000</v>
      </c>
      <c r="G11" s="10"/>
      <c r="H11" s="10">
        <v>131260500</v>
      </c>
    </row>
    <row r="12" spans="1:8">
      <c r="A12" s="13" t="s">
        <v>5</v>
      </c>
      <c r="B12" s="11"/>
      <c r="C12" s="2"/>
      <c r="D12" s="2"/>
      <c r="E12" s="7" t="str">
        <f>'notes 1 '!A33</f>
        <v>1.2.3</v>
      </c>
      <c r="F12" s="12">
        <f>'notes 1 '!E41</f>
        <v>73395217</v>
      </c>
      <c r="G12" s="10"/>
      <c r="H12" s="10">
        <v>60804401</v>
      </c>
    </row>
    <row r="13" spans="1:8">
      <c r="A13" s="13" t="s">
        <v>6</v>
      </c>
      <c r="B13" s="11"/>
      <c r="C13" s="2"/>
      <c r="D13" s="2"/>
      <c r="E13" s="7" t="str">
        <f>'notes 1 '!A42</f>
        <v>1.2.4</v>
      </c>
      <c r="F13" s="12">
        <f>'notes 1 '!E48</f>
        <v>122095704</v>
      </c>
      <c r="G13" s="10"/>
      <c r="H13" s="10">
        <v>104129550</v>
      </c>
    </row>
    <row r="14" spans="1:8">
      <c r="A14" s="13" t="s">
        <v>57</v>
      </c>
      <c r="B14" s="11"/>
      <c r="C14" s="2"/>
      <c r="D14" s="2"/>
      <c r="E14" s="7" t="str">
        <f>'notes 1 '!A49</f>
        <v>1.2.5</v>
      </c>
      <c r="F14" s="12">
        <f>'notes 1 '!E54</f>
        <v>18068700</v>
      </c>
      <c r="G14" s="10"/>
      <c r="H14" s="10">
        <v>9314400</v>
      </c>
    </row>
    <row r="15" spans="1:8">
      <c r="A15" s="13" t="s">
        <v>86</v>
      </c>
      <c r="B15" s="11"/>
      <c r="C15" s="2"/>
      <c r="D15" s="2"/>
      <c r="E15" s="7" t="str">
        <f>'notes 1 '!A55</f>
        <v>1.2.6</v>
      </c>
      <c r="F15" s="12">
        <f>'notes 1 '!E56</f>
        <v>9440500</v>
      </c>
      <c r="G15" s="10"/>
      <c r="H15" s="10">
        <v>24323700</v>
      </c>
    </row>
    <row r="16" spans="1:8" ht="17.25">
      <c r="A16" s="13" t="s">
        <v>46</v>
      </c>
      <c r="B16" s="2"/>
      <c r="C16" s="2"/>
      <c r="D16" s="2"/>
      <c r="E16" s="7" t="str">
        <f>'notes 1 '!A58</f>
        <v>1.2.7</v>
      </c>
      <c r="F16" s="14">
        <f>'notes 1 '!E59</f>
        <v>647667.43999999994</v>
      </c>
      <c r="G16" s="15"/>
      <c r="H16" s="15">
        <v>428460</v>
      </c>
    </row>
    <row r="17" spans="1:8" ht="17.25">
      <c r="A17" s="13"/>
      <c r="B17" s="2"/>
      <c r="C17" s="2"/>
      <c r="D17" s="2"/>
      <c r="E17" s="7"/>
      <c r="F17" s="14">
        <f>SUM(F9:F16)</f>
        <v>429147935.44</v>
      </c>
      <c r="G17" s="15"/>
      <c r="H17" s="14">
        <f>SUM(H9:H16)</f>
        <v>607193560</v>
      </c>
    </row>
    <row r="18" spans="1:8" ht="17.25">
      <c r="A18" s="13"/>
      <c r="B18" s="2"/>
      <c r="C18" s="2"/>
      <c r="D18" s="2"/>
      <c r="E18" s="7"/>
      <c r="F18" s="14"/>
      <c r="G18" s="15"/>
      <c r="H18" s="15"/>
    </row>
    <row r="19" spans="1:8" ht="17.25">
      <c r="A19" s="13" t="s">
        <v>93</v>
      </c>
      <c r="B19" s="2"/>
      <c r="C19" s="2"/>
      <c r="D19" s="2"/>
      <c r="E19" s="7">
        <f>'notes 2-5'!A10</f>
        <v>2</v>
      </c>
      <c r="F19" s="14">
        <f>'notes 2-5'!D13</f>
        <v>155646846.95999998</v>
      </c>
      <c r="G19" s="15"/>
      <c r="H19" s="15">
        <v>214620270</v>
      </c>
    </row>
    <row r="20" spans="1:8" ht="17.25">
      <c r="A20" s="13"/>
      <c r="B20" s="2"/>
      <c r="C20" s="2"/>
      <c r="D20" s="2"/>
      <c r="E20" s="7"/>
      <c r="F20" s="14"/>
      <c r="G20" s="15"/>
      <c r="H20" s="14"/>
    </row>
    <row r="21" spans="1:8" ht="16.5">
      <c r="A21" s="5" t="s">
        <v>84</v>
      </c>
      <c r="B21" s="2"/>
      <c r="C21" s="2"/>
      <c r="D21" s="2"/>
      <c r="E21" s="7"/>
      <c r="F21" s="14">
        <f>F17+F19</f>
        <v>584794782.39999998</v>
      </c>
      <c r="G21" s="12"/>
      <c r="H21" s="14">
        <f>H17+H19</f>
        <v>821813830</v>
      </c>
    </row>
    <row r="22" spans="1:8">
      <c r="A22" s="2"/>
      <c r="B22" s="2"/>
      <c r="C22" s="2"/>
      <c r="D22" s="2"/>
      <c r="E22" s="7"/>
      <c r="F22" s="12"/>
      <c r="G22" s="10"/>
      <c r="H22" s="12"/>
    </row>
    <row r="23" spans="1:8">
      <c r="A23" s="5" t="s">
        <v>80</v>
      </c>
      <c r="B23" s="2"/>
      <c r="C23" s="2"/>
      <c r="D23" s="2"/>
      <c r="E23" s="7"/>
      <c r="F23" s="12"/>
      <c r="G23" s="10"/>
      <c r="H23" s="12"/>
    </row>
    <row r="24" spans="1:8">
      <c r="A24" s="2" t="s">
        <v>81</v>
      </c>
      <c r="B24" s="2"/>
      <c r="C24" s="2"/>
      <c r="D24" s="2"/>
      <c r="E24" s="7">
        <v>3.1</v>
      </c>
      <c r="F24" s="12">
        <f>'notes 2-5'!D17</f>
        <v>43413656.399999999</v>
      </c>
      <c r="G24" s="10"/>
      <c r="H24" s="10">
        <v>81163852</v>
      </c>
    </row>
    <row r="25" spans="1:8">
      <c r="A25" s="2"/>
      <c r="B25" s="2"/>
      <c r="C25" s="2"/>
      <c r="D25" s="2"/>
      <c r="E25" s="7"/>
      <c r="F25" s="12"/>
      <c r="G25" s="10"/>
      <c r="H25" s="10"/>
    </row>
    <row r="26" spans="1:8">
      <c r="A26" s="2" t="s">
        <v>82</v>
      </c>
      <c r="B26" s="2"/>
      <c r="C26" s="2"/>
      <c r="D26" s="2"/>
      <c r="E26" s="7">
        <v>3.2</v>
      </c>
      <c r="F26" s="12">
        <f>'notes 2-5'!D20</f>
        <v>38508150</v>
      </c>
      <c r="G26" s="10"/>
      <c r="H26" s="10">
        <v>81634631</v>
      </c>
    </row>
    <row r="27" spans="1:8">
      <c r="A27" s="2"/>
      <c r="B27" s="2"/>
      <c r="C27" s="2"/>
      <c r="D27" s="2"/>
      <c r="E27" s="7"/>
      <c r="F27" s="12"/>
      <c r="G27" s="10"/>
      <c r="H27" s="10"/>
    </row>
    <row r="28" spans="1:8">
      <c r="A28" s="2" t="s">
        <v>83</v>
      </c>
      <c r="B28" s="2"/>
      <c r="C28" s="2"/>
      <c r="D28" s="2"/>
      <c r="E28" s="7">
        <v>3.3</v>
      </c>
      <c r="F28" s="12">
        <f>'notes 2-5'!D25</f>
        <v>179704700</v>
      </c>
      <c r="G28" s="10"/>
      <c r="H28" s="10">
        <v>163269157</v>
      </c>
    </row>
    <row r="29" spans="1:8">
      <c r="A29" s="2"/>
      <c r="B29" s="2"/>
      <c r="C29" s="2"/>
      <c r="D29" s="2"/>
      <c r="E29" s="7"/>
      <c r="F29" s="12"/>
      <c r="G29" s="10"/>
      <c r="H29" s="10"/>
    </row>
    <row r="30" spans="1:8">
      <c r="A30" s="2" t="s">
        <v>26</v>
      </c>
      <c r="B30" s="2"/>
      <c r="C30" s="2"/>
      <c r="D30" s="2"/>
      <c r="E30" s="7">
        <v>3.4</v>
      </c>
      <c r="F30" s="12">
        <f>'notes 2-5'!D30</f>
        <v>108548006</v>
      </c>
      <c r="G30" s="10"/>
      <c r="H30" s="10">
        <v>49976500</v>
      </c>
    </row>
    <row r="31" spans="1:8" ht="17.25">
      <c r="A31" s="2"/>
      <c r="B31" s="2"/>
      <c r="C31" s="2"/>
      <c r="D31" s="2"/>
      <c r="E31" s="7"/>
      <c r="F31" s="14"/>
      <c r="G31" s="10"/>
      <c r="H31" s="15"/>
    </row>
    <row r="32" spans="1:8" ht="17.25">
      <c r="A32" s="2" t="s">
        <v>92</v>
      </c>
      <c r="B32" s="2"/>
      <c r="C32" s="2"/>
      <c r="D32" s="2"/>
      <c r="E32" s="7"/>
      <c r="F32" s="14">
        <f>'notes 2-5'!E13</f>
        <v>214620270</v>
      </c>
      <c r="G32" s="15"/>
      <c r="H32" s="15">
        <v>445769690</v>
      </c>
    </row>
    <row r="33" spans="1:10">
      <c r="A33" s="2"/>
      <c r="B33" s="2"/>
      <c r="C33" s="2"/>
      <c r="D33" s="2"/>
      <c r="E33" s="7"/>
      <c r="F33" s="12"/>
      <c r="G33" s="10"/>
      <c r="H33" s="12"/>
    </row>
    <row r="34" spans="1:10" ht="16.5">
      <c r="A34" s="2"/>
      <c r="B34" s="2"/>
      <c r="C34" s="2"/>
      <c r="D34" s="2"/>
      <c r="E34" s="7"/>
      <c r="F34" s="14">
        <f>F24+F26+F28+F30+F32</f>
        <v>584794782.39999998</v>
      </c>
      <c r="G34" s="14"/>
      <c r="H34" s="14">
        <f>H24+H26+H28+H30+H32</f>
        <v>821813830</v>
      </c>
      <c r="I34" s="1"/>
    </row>
    <row r="35" spans="1:10">
      <c r="A35" s="2"/>
      <c r="B35" s="2"/>
      <c r="C35" s="2"/>
      <c r="D35" s="2"/>
      <c r="E35" s="2"/>
      <c r="F35" s="10"/>
      <c r="G35" s="10"/>
      <c r="H35" s="10"/>
    </row>
    <row r="36" spans="1:10">
      <c r="A36" s="2"/>
      <c r="B36" s="2"/>
      <c r="C36" s="2"/>
      <c r="D36" s="2"/>
      <c r="E36" s="2"/>
      <c r="F36" s="16"/>
      <c r="G36" s="2"/>
      <c r="H36" s="2"/>
    </row>
    <row r="37" spans="1:10">
      <c r="A37" s="2"/>
      <c r="B37" s="2"/>
      <c r="C37" s="2"/>
      <c r="D37" s="2"/>
      <c r="E37" s="2"/>
      <c r="F37" s="2"/>
      <c r="G37" s="2"/>
      <c r="H37" s="2"/>
    </row>
    <row r="38" spans="1:10">
      <c r="F38" s="10"/>
      <c r="G38" s="2"/>
      <c r="H38" s="2"/>
    </row>
    <row r="39" spans="1:10" ht="15.75">
      <c r="A39" s="17"/>
      <c r="B39" s="17"/>
      <c r="C39" s="18"/>
      <c r="D39" s="18"/>
      <c r="E39" s="19"/>
      <c r="F39" s="18"/>
      <c r="G39" s="2"/>
      <c r="H39" s="2"/>
    </row>
    <row r="40" spans="1:10" ht="15.75">
      <c r="A40" s="20" t="s">
        <v>290</v>
      </c>
      <c r="B40" s="20"/>
      <c r="C40" s="21"/>
      <c r="D40" s="21"/>
      <c r="E40" s="21"/>
      <c r="F40" s="21"/>
      <c r="G40" s="2"/>
      <c r="H40" s="2"/>
    </row>
    <row r="41" spans="1:10" ht="15.75">
      <c r="A41" s="20"/>
      <c r="B41" s="20"/>
      <c r="C41" s="21"/>
      <c r="D41" s="21"/>
      <c r="F41" s="21"/>
      <c r="G41" s="2"/>
      <c r="H41" s="20" t="s">
        <v>78</v>
      </c>
    </row>
    <row r="42" spans="1:10" ht="15.75">
      <c r="A42" s="20" t="s">
        <v>291</v>
      </c>
      <c r="B42" s="20"/>
      <c r="C42" s="21"/>
      <c r="D42" s="21"/>
      <c r="E42" s="21"/>
      <c r="F42" s="21"/>
      <c r="G42" s="2"/>
      <c r="H42" s="2"/>
    </row>
    <row r="43" spans="1:10">
      <c r="A43" s="2"/>
      <c r="B43" s="2"/>
      <c r="C43" s="2"/>
      <c r="D43" s="2"/>
      <c r="E43" s="2"/>
      <c r="F43" s="2"/>
      <c r="G43" s="2"/>
      <c r="H43" s="2"/>
    </row>
    <row r="44" spans="1:10">
      <c r="A44" s="22"/>
      <c r="B44" s="22"/>
      <c r="C44" s="22"/>
      <c r="D44" s="22"/>
      <c r="E44" s="22"/>
      <c r="F44" s="22"/>
      <c r="G44" s="23"/>
      <c r="H44" s="23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314">
        <v>12</v>
      </c>
      <c r="G46" s="22"/>
      <c r="H46" s="22"/>
      <c r="I46" s="24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</sheetData>
  <pageMargins left="0.57999999999999996" right="0.7" top="1.19" bottom="0.75" header="0.81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7"/>
  <sheetViews>
    <sheetView topLeftCell="A70" workbookViewId="0">
      <selection activeCell="I85" sqref="I85"/>
    </sheetView>
  </sheetViews>
  <sheetFormatPr defaultRowHeight="15"/>
  <cols>
    <col min="1" max="1" width="3.42578125" style="272" customWidth="1"/>
    <col min="2" max="5" width="9.140625" style="272"/>
    <col min="6" max="6" width="13" style="272" customWidth="1"/>
    <col min="7" max="7" width="13.5703125" style="272" customWidth="1"/>
    <col min="8" max="8" width="5.85546875" style="346" customWidth="1"/>
    <col min="9" max="9" width="12.28515625" style="272" customWidth="1"/>
    <col min="10" max="10" width="13.28515625" style="272" bestFit="1" customWidth="1"/>
    <col min="11" max="16384" width="9.140625" style="272"/>
  </cols>
  <sheetData>
    <row r="2" spans="2:7" ht="15.75">
      <c r="B2" s="183" t="s">
        <v>28</v>
      </c>
    </row>
    <row r="3" spans="2:7" ht="15.75">
      <c r="B3" s="183" t="s">
        <v>29</v>
      </c>
    </row>
    <row r="4" spans="2:7" ht="15.75">
      <c r="B4" s="188" t="s">
        <v>216</v>
      </c>
    </row>
    <row r="5" spans="2:7" ht="15.75">
      <c r="B5" s="188"/>
    </row>
    <row r="6" spans="2:7" ht="15.75">
      <c r="B6" s="183" t="s">
        <v>215</v>
      </c>
    </row>
    <row r="8" spans="2:7">
      <c r="F8" s="274" t="s">
        <v>220</v>
      </c>
      <c r="G8" s="274" t="s">
        <v>221</v>
      </c>
    </row>
    <row r="10" spans="2:7">
      <c r="B10" s="86" t="s">
        <v>217</v>
      </c>
      <c r="F10" s="272">
        <v>333963746</v>
      </c>
    </row>
    <row r="11" spans="2:7">
      <c r="B11" s="97" t="s">
        <v>243</v>
      </c>
      <c r="G11" s="272">
        <f>Analyses!P63</f>
        <v>179704700</v>
      </c>
    </row>
    <row r="12" spans="2:7">
      <c r="B12" s="86" t="s">
        <v>242</v>
      </c>
      <c r="G12" s="272">
        <f>Analyses!P66</f>
        <v>38508150</v>
      </c>
    </row>
    <row r="13" spans="2:7">
      <c r="B13" s="252" t="s">
        <v>173</v>
      </c>
      <c r="G13" s="272">
        <f>Analyses!P64</f>
        <v>108000000</v>
      </c>
    </row>
    <row r="14" spans="2:7" ht="17.25">
      <c r="B14" s="252" t="s">
        <v>222</v>
      </c>
      <c r="F14" s="277">
        <v>0</v>
      </c>
      <c r="G14" s="277">
        <f>Analyses!P67</f>
        <v>7750896</v>
      </c>
    </row>
    <row r="15" spans="2:7" ht="17.25">
      <c r="B15" s="273" t="s">
        <v>218</v>
      </c>
      <c r="F15" s="276">
        <f>SUM(F10:F13)</f>
        <v>333963746</v>
      </c>
      <c r="G15" s="276">
        <f>SUM(G10:G14)</f>
        <v>333963746</v>
      </c>
    </row>
    <row r="16" spans="2:7">
      <c r="B16" s="273" t="s">
        <v>219</v>
      </c>
    </row>
    <row r="17" spans="1:6">
      <c r="B17" s="278"/>
    </row>
    <row r="18" spans="1:6">
      <c r="B18" s="278"/>
    </row>
    <row r="19" spans="1:6">
      <c r="A19" s="272">
        <v>1</v>
      </c>
      <c r="B19" s="253" t="s">
        <v>159</v>
      </c>
    </row>
    <row r="20" spans="1:6">
      <c r="B20" s="218" t="s">
        <v>177</v>
      </c>
      <c r="F20" s="272">
        <f>Analyses!P103</f>
        <v>828000</v>
      </c>
    </row>
    <row r="21" spans="1:6">
      <c r="B21" s="218" t="s">
        <v>3</v>
      </c>
      <c r="F21" s="272">
        <f>Analyses!P104</f>
        <v>190000</v>
      </c>
    </row>
    <row r="22" spans="1:6">
      <c r="B22" s="252" t="s">
        <v>181</v>
      </c>
      <c r="F22" s="272">
        <f>Analyses!P105</f>
        <v>3543000</v>
      </c>
    </row>
    <row r="23" spans="1:6">
      <c r="B23" s="218" t="s">
        <v>4</v>
      </c>
      <c r="F23" s="272">
        <f>Analyses!P106</f>
        <v>4600000</v>
      </c>
    </row>
    <row r="24" spans="1:6">
      <c r="B24" s="218" t="s">
        <v>15</v>
      </c>
      <c r="F24" s="272">
        <f>Analyses!P107</f>
        <v>1500000</v>
      </c>
    </row>
    <row r="25" spans="1:6">
      <c r="B25" s="252" t="s">
        <v>184</v>
      </c>
      <c r="F25" s="272">
        <f>Analyses!P108</f>
        <v>55000000</v>
      </c>
    </row>
    <row r="26" spans="1:6">
      <c r="B26" s="252"/>
      <c r="F26" s="272">
        <f>Analyses!P109</f>
        <v>0</v>
      </c>
    </row>
    <row r="27" spans="1:6">
      <c r="A27" s="272">
        <v>2</v>
      </c>
      <c r="B27" s="253" t="s">
        <v>160</v>
      </c>
      <c r="F27" s="272">
        <f>Analyses!P110</f>
        <v>0</v>
      </c>
    </row>
    <row r="28" spans="1:6">
      <c r="B28" s="218" t="s">
        <v>17</v>
      </c>
      <c r="F28" s="272">
        <f>Analyses!P111</f>
        <v>0</v>
      </c>
    </row>
    <row r="29" spans="1:6">
      <c r="B29" s="218" t="s">
        <v>20</v>
      </c>
      <c r="F29" s="272">
        <f>Analyses!P112</f>
        <v>650000</v>
      </c>
    </row>
    <row r="30" spans="1:6">
      <c r="B30" s="252" t="s">
        <v>4</v>
      </c>
      <c r="F30" s="272">
        <f>Analyses!P113</f>
        <v>1300000</v>
      </c>
    </row>
    <row r="31" spans="1:6">
      <c r="B31" s="252"/>
      <c r="F31" s="272">
        <f>Analyses!P114</f>
        <v>0</v>
      </c>
    </row>
    <row r="32" spans="1:6">
      <c r="A32" s="272">
        <v>3</v>
      </c>
      <c r="B32" s="253" t="s">
        <v>5</v>
      </c>
      <c r="F32" s="272">
        <f>Analyses!P115</f>
        <v>0</v>
      </c>
    </row>
    <row r="33" spans="1:6">
      <c r="B33" s="218" t="s">
        <v>7</v>
      </c>
      <c r="F33" s="272">
        <f>Analyses!P116</f>
        <v>8330000</v>
      </c>
    </row>
    <row r="34" spans="1:6">
      <c r="B34" s="218" t="s">
        <v>8</v>
      </c>
      <c r="F34" s="272">
        <f>Analyses!P117</f>
        <v>0</v>
      </c>
    </row>
    <row r="35" spans="1:6">
      <c r="B35" s="218" t="s">
        <v>9</v>
      </c>
      <c r="F35" s="272">
        <f>Analyses!P118</f>
        <v>38977790</v>
      </c>
    </row>
    <row r="36" spans="1:6">
      <c r="B36" s="218" t="s">
        <v>18</v>
      </c>
      <c r="F36" s="272">
        <f>Analyses!P119</f>
        <v>7827850</v>
      </c>
    </row>
    <row r="37" spans="1:6">
      <c r="B37" s="218" t="s">
        <v>16</v>
      </c>
      <c r="F37" s="272">
        <f>Analyses!P120</f>
        <v>0</v>
      </c>
    </row>
    <row r="38" spans="1:6">
      <c r="B38" s="252" t="s">
        <v>178</v>
      </c>
      <c r="F38" s="272">
        <f>Analyses!P121</f>
        <v>4617000</v>
      </c>
    </row>
    <row r="39" spans="1:6">
      <c r="B39" s="218" t="s">
        <v>19</v>
      </c>
      <c r="F39" s="272">
        <f>Analyses!P122</f>
        <v>1474577</v>
      </c>
    </row>
    <row r="40" spans="1:6">
      <c r="B40" s="218" t="s">
        <v>161</v>
      </c>
      <c r="F40" s="272">
        <f>Analyses!P123</f>
        <v>41780147</v>
      </c>
    </row>
    <row r="41" spans="1:6">
      <c r="B41" s="252" t="s">
        <v>179</v>
      </c>
      <c r="F41" s="272">
        <f>Analyses!P124</f>
        <v>37800000</v>
      </c>
    </row>
    <row r="42" spans="1:6">
      <c r="B42" s="218"/>
      <c r="F42" s="272">
        <f>Analyses!P125</f>
        <v>0</v>
      </c>
    </row>
    <row r="43" spans="1:6">
      <c r="A43" s="272">
        <v>4</v>
      </c>
      <c r="B43" s="216" t="s">
        <v>6</v>
      </c>
      <c r="F43" s="272">
        <f>Analyses!P126</f>
        <v>0</v>
      </c>
    </row>
    <row r="44" spans="1:6">
      <c r="B44" s="279" t="s">
        <v>183</v>
      </c>
      <c r="F44" s="272">
        <f>Analyses!P127</f>
        <v>98820600</v>
      </c>
    </row>
    <row r="45" spans="1:6" ht="15.75">
      <c r="B45" s="280" t="s">
        <v>4</v>
      </c>
      <c r="F45" s="272">
        <f>Analyses!P128</f>
        <v>14808000</v>
      </c>
    </row>
    <row r="46" spans="1:6" ht="15.75">
      <c r="B46" s="280" t="s">
        <v>12</v>
      </c>
      <c r="F46" s="272">
        <f>Analyses!P129</f>
        <v>11118000</v>
      </c>
    </row>
    <row r="47" spans="1:6" ht="15.75">
      <c r="B47" s="280" t="s">
        <v>13</v>
      </c>
      <c r="F47" s="272">
        <f>Analyses!P130</f>
        <v>1740000</v>
      </c>
    </row>
    <row r="48" spans="1:6" ht="15.75">
      <c r="B48" s="280" t="s">
        <v>14</v>
      </c>
      <c r="F48" s="272">
        <f>Analyses!P131</f>
        <v>2825000</v>
      </c>
    </row>
    <row r="49" spans="1:10" ht="15.75">
      <c r="B49" s="280" t="s">
        <v>162</v>
      </c>
      <c r="F49" s="272">
        <f>Analyses!P132</f>
        <v>596000</v>
      </c>
    </row>
    <row r="50" spans="1:10">
      <c r="A50" s="272">
        <v>5</v>
      </c>
      <c r="B50" s="253" t="s">
        <v>163</v>
      </c>
      <c r="F50" s="272">
        <f>Analyses!P133</f>
        <v>0</v>
      </c>
    </row>
    <row r="51" spans="1:10">
      <c r="B51" s="218" t="s">
        <v>182</v>
      </c>
      <c r="F51" s="272">
        <f>Analyses!P134</f>
        <v>15038700</v>
      </c>
    </row>
    <row r="52" spans="1:10">
      <c r="B52" s="218" t="s">
        <v>11</v>
      </c>
      <c r="F52" s="272">
        <f>Analyses!P135</f>
        <v>900000</v>
      </c>
    </row>
    <row r="53" spans="1:10">
      <c r="B53" s="252" t="s">
        <v>180</v>
      </c>
      <c r="F53" s="272">
        <f>Analyses!P136</f>
        <v>2130000</v>
      </c>
    </row>
    <row r="54" spans="1:10">
      <c r="A54" s="272">
        <v>6</v>
      </c>
      <c r="B54" s="253" t="s">
        <v>2</v>
      </c>
      <c r="F54" s="272">
        <f>Analyses!P137</f>
        <v>0</v>
      </c>
    </row>
    <row r="55" spans="1:10">
      <c r="B55" s="218" t="s">
        <v>2</v>
      </c>
      <c r="F55" s="272">
        <f>Analyses!P138</f>
        <v>9440500</v>
      </c>
    </row>
    <row r="56" spans="1:10">
      <c r="B56" s="218" t="s">
        <v>91</v>
      </c>
      <c r="F56" s="272">
        <f>Analyses!P139</f>
        <v>647667.43999999994</v>
      </c>
    </row>
    <row r="57" spans="1:10" ht="17.25">
      <c r="B57" s="278" t="s">
        <v>217</v>
      </c>
      <c r="F57" s="277">
        <v>0</v>
      </c>
      <c r="G57" s="277">
        <f>Analyses!P142</f>
        <v>366482831.44</v>
      </c>
    </row>
    <row r="58" spans="1:10" ht="17.25">
      <c r="B58" s="275" t="s">
        <v>223</v>
      </c>
      <c r="F58" s="276">
        <f>SUM(F19:F57)</f>
        <v>366482831.44</v>
      </c>
      <c r="G58" s="276">
        <f>SUM(G19:G57)</f>
        <v>366482831.44</v>
      </c>
    </row>
    <row r="59" spans="1:10">
      <c r="B59" s="275" t="s">
        <v>219</v>
      </c>
    </row>
    <row r="61" spans="1:10">
      <c r="F61" s="282" t="s">
        <v>1</v>
      </c>
      <c r="G61" s="282" t="s">
        <v>1</v>
      </c>
      <c r="H61" s="346" t="s">
        <v>228</v>
      </c>
      <c r="I61" s="283" t="s">
        <v>0</v>
      </c>
      <c r="J61" s="283" t="s">
        <v>0</v>
      </c>
    </row>
    <row r="62" spans="1:10">
      <c r="B62" s="272" t="s">
        <v>224</v>
      </c>
      <c r="F62" s="272">
        <v>120593.49</v>
      </c>
      <c r="H62" s="274">
        <v>360</v>
      </c>
      <c r="I62" s="272">
        <f>F62*H62</f>
        <v>43413656.399999999</v>
      </c>
    </row>
    <row r="63" spans="1:10">
      <c r="B63" s="272" t="s">
        <v>152</v>
      </c>
      <c r="G63" s="272">
        <v>120593.49</v>
      </c>
      <c r="H63" s="274">
        <v>360</v>
      </c>
      <c r="J63" s="272">
        <f>G63*H63</f>
        <v>43413656.399999999</v>
      </c>
    </row>
    <row r="64" spans="1:10">
      <c r="B64" s="275" t="s">
        <v>225</v>
      </c>
    </row>
    <row r="65" spans="2:10">
      <c r="B65" s="275" t="s">
        <v>226</v>
      </c>
    </row>
    <row r="67" spans="2:10">
      <c r="B67" s="279" t="s">
        <v>246</v>
      </c>
      <c r="F67" s="272">
        <v>106800</v>
      </c>
      <c r="H67" s="346">
        <v>360</v>
      </c>
      <c r="I67" s="272">
        <f>F67*H67</f>
        <v>38448000</v>
      </c>
    </row>
    <row r="68" spans="2:10">
      <c r="B68" s="279" t="s">
        <v>247</v>
      </c>
      <c r="F68" s="272">
        <v>17800</v>
      </c>
      <c r="H68" s="346">
        <v>360</v>
      </c>
      <c r="I68" s="272">
        <f>F68*H68</f>
        <v>6408000</v>
      </c>
    </row>
    <row r="69" spans="2:10">
      <c r="B69" s="279" t="s">
        <v>174</v>
      </c>
      <c r="F69" s="272">
        <f>Analyses!P24</f>
        <v>300000</v>
      </c>
      <c r="H69" s="346">
        <v>360</v>
      </c>
      <c r="I69" s="272">
        <f>F69*H69</f>
        <v>108000000</v>
      </c>
    </row>
    <row r="70" spans="2:10">
      <c r="B70" s="279" t="s">
        <v>248</v>
      </c>
      <c r="F70" s="272">
        <v>55000</v>
      </c>
      <c r="H70" s="346">
        <v>360</v>
      </c>
      <c r="I70" s="272">
        <f>F70*H70</f>
        <v>19800000</v>
      </c>
    </row>
    <row r="71" spans="2:10">
      <c r="B71" s="281" t="s">
        <v>245</v>
      </c>
      <c r="F71" s="272">
        <v>16000</v>
      </c>
      <c r="H71" s="346">
        <v>360</v>
      </c>
      <c r="I71" s="272">
        <f>F71*H71</f>
        <v>5760000</v>
      </c>
    </row>
    <row r="72" spans="2:10">
      <c r="B72" s="272" t="s">
        <v>224</v>
      </c>
      <c r="F72" s="308">
        <v>0</v>
      </c>
      <c r="G72" s="308">
        <v>495600</v>
      </c>
      <c r="H72" s="346">
        <v>360</v>
      </c>
      <c r="J72" s="272">
        <f>G72*H72</f>
        <v>178416000</v>
      </c>
    </row>
    <row r="73" spans="2:10" ht="17.25">
      <c r="B73" s="272" t="s">
        <v>244</v>
      </c>
      <c r="F73" s="277">
        <v>0</v>
      </c>
      <c r="G73" s="277">
        <v>0</v>
      </c>
      <c r="I73" s="277">
        <v>0</v>
      </c>
      <c r="J73" s="277">
        <f>I74-J72</f>
        <v>0</v>
      </c>
    </row>
    <row r="74" spans="2:10" ht="17.25">
      <c r="B74" s="275" t="s">
        <v>227</v>
      </c>
      <c r="F74" s="276">
        <f>SUM(F67:F73)</f>
        <v>495600</v>
      </c>
      <c r="G74" s="276">
        <f>SUM(G67:G73)</f>
        <v>495600</v>
      </c>
      <c r="I74" s="276">
        <f>SUM(I67:I73)</f>
        <v>178416000</v>
      </c>
      <c r="J74" s="276">
        <f>SUM(J67:J73)</f>
        <v>178416000</v>
      </c>
    </row>
    <row r="75" spans="2:10">
      <c r="B75" s="275" t="s">
        <v>219</v>
      </c>
    </row>
    <row r="77" spans="2:10">
      <c r="B77" s="272" t="s">
        <v>252</v>
      </c>
      <c r="F77" s="272">
        <v>108548006</v>
      </c>
    </row>
    <row r="78" spans="2:10">
      <c r="B78" s="272" t="s">
        <v>251</v>
      </c>
      <c r="G78" s="272">
        <v>108548006</v>
      </c>
    </row>
    <row r="82" spans="2:7">
      <c r="B82" s="272" t="s">
        <v>222</v>
      </c>
      <c r="F82" s="272">
        <v>7750896</v>
      </c>
    </row>
    <row r="83" spans="2:7">
      <c r="B83" s="272" t="s">
        <v>255</v>
      </c>
      <c r="G83" s="272">
        <f>4308000+264896</f>
        <v>4572896</v>
      </c>
    </row>
    <row r="84" spans="2:7">
      <c r="B84" s="272" t="s">
        <v>256</v>
      </c>
      <c r="G84" s="272">
        <v>2643000</v>
      </c>
    </row>
    <row r="85" spans="2:7">
      <c r="B85" s="272" t="s">
        <v>257</v>
      </c>
      <c r="G85" s="272">
        <v>100000</v>
      </c>
    </row>
    <row r="86" spans="2:7" ht="17.25">
      <c r="B86" s="272" t="s">
        <v>257</v>
      </c>
      <c r="F86" s="277">
        <v>0</v>
      </c>
      <c r="G86" s="277">
        <f>219000+216000</f>
        <v>435000</v>
      </c>
    </row>
    <row r="87" spans="2:7" ht="17.25">
      <c r="F87" s="276">
        <f>SUM(F82:F86)</f>
        <v>7750896</v>
      </c>
      <c r="G87" s="276">
        <f>SUM(G82:G86)</f>
        <v>7750896</v>
      </c>
    </row>
  </sheetData>
  <pageMargins left="0.7" right="0.7" top="0.75" bottom="0.75" header="0.3" footer="0.3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9"/>
  <sheetViews>
    <sheetView topLeftCell="A58" workbookViewId="0">
      <selection activeCell="A80" sqref="A80"/>
    </sheetView>
  </sheetViews>
  <sheetFormatPr defaultRowHeight="15"/>
  <cols>
    <col min="1" max="1" width="3.28515625" customWidth="1"/>
    <col min="2" max="2" width="1.85546875" customWidth="1"/>
    <col min="3" max="3" width="29.140625" customWidth="1"/>
    <col min="4" max="4" width="1.140625" customWidth="1"/>
    <col min="5" max="5" width="16.140625" customWidth="1"/>
    <col min="6" max="6" width="15.140625" customWidth="1"/>
    <col min="7" max="7" width="2.5703125" style="311" customWidth="1"/>
    <col min="8" max="8" width="14.7109375" customWidth="1"/>
    <col min="9" max="9" width="14.28515625" customWidth="1"/>
    <col min="10" max="10" width="2.28515625" style="311" customWidth="1"/>
    <col min="11" max="11" width="15.7109375" customWidth="1"/>
    <col min="12" max="12" width="14.28515625" customWidth="1"/>
  </cols>
  <sheetData>
    <row r="1" spans="2:12" ht="15.75" thickBot="1"/>
    <row r="2" spans="2:12">
      <c r="B2" s="284"/>
      <c r="C2" s="285"/>
      <c r="D2" s="285"/>
      <c r="E2" s="285"/>
      <c r="F2" s="285"/>
      <c r="G2" s="312"/>
      <c r="H2" s="285"/>
      <c r="I2" s="285"/>
      <c r="J2" s="312"/>
      <c r="K2" s="285"/>
      <c r="L2" s="286"/>
    </row>
    <row r="3" spans="2:12">
      <c r="B3" s="287"/>
      <c r="C3" s="288" t="s">
        <v>28</v>
      </c>
      <c r="D3" s="289"/>
      <c r="E3" s="289"/>
      <c r="F3" s="289"/>
      <c r="G3" s="313"/>
      <c r="H3" s="289"/>
      <c r="I3" s="289"/>
      <c r="J3" s="313"/>
      <c r="K3" s="289"/>
      <c r="L3" s="290"/>
    </row>
    <row r="4" spans="2:12">
      <c r="B4" s="287"/>
      <c r="C4" s="288" t="s">
        <v>229</v>
      </c>
      <c r="D4" s="289"/>
      <c r="E4" s="289"/>
      <c r="F4" s="289"/>
      <c r="G4" s="313"/>
      <c r="H4" s="289"/>
      <c r="I4" s="289"/>
      <c r="J4" s="313"/>
      <c r="K4" s="289"/>
      <c r="L4" s="290"/>
    </row>
    <row r="5" spans="2:12">
      <c r="B5" s="287"/>
      <c r="C5" s="288" t="s">
        <v>240</v>
      </c>
      <c r="D5" s="289"/>
      <c r="E5" s="289"/>
      <c r="F5" s="289"/>
      <c r="G5" s="313"/>
      <c r="H5" s="289"/>
      <c r="I5" s="289"/>
      <c r="J5" s="313"/>
      <c r="K5" s="289"/>
      <c r="L5" s="290"/>
    </row>
    <row r="6" spans="2:12">
      <c r="B6" s="287"/>
      <c r="C6" s="288" t="s">
        <v>230</v>
      </c>
      <c r="D6" s="289"/>
      <c r="E6" s="289"/>
      <c r="F6" s="289"/>
      <c r="G6" s="313"/>
      <c r="H6" s="289"/>
      <c r="I6" s="289"/>
      <c r="J6" s="313"/>
      <c r="K6" s="289"/>
      <c r="L6" s="290"/>
    </row>
    <row r="7" spans="2:12">
      <c r="B7" s="291"/>
      <c r="C7" s="288" t="s">
        <v>231</v>
      </c>
      <c r="D7" s="289"/>
      <c r="E7" s="288" t="s">
        <v>232</v>
      </c>
      <c r="F7" s="289"/>
      <c r="G7" s="309"/>
      <c r="H7" s="289" t="s">
        <v>233</v>
      </c>
      <c r="I7" s="289"/>
      <c r="J7" s="309"/>
      <c r="K7" s="289" t="s">
        <v>234</v>
      </c>
      <c r="L7" s="290"/>
    </row>
    <row r="8" spans="2:12">
      <c r="B8" s="292"/>
      <c r="C8" s="289"/>
      <c r="D8" s="289"/>
      <c r="E8" s="289" t="s">
        <v>235</v>
      </c>
      <c r="F8" s="289" t="s">
        <v>236</v>
      </c>
      <c r="G8" s="309"/>
      <c r="H8" s="289" t="s">
        <v>235</v>
      </c>
      <c r="I8" s="289" t="s">
        <v>236</v>
      </c>
      <c r="J8" s="309"/>
      <c r="K8" s="289" t="s">
        <v>235</v>
      </c>
      <c r="L8" s="290" t="s">
        <v>236</v>
      </c>
    </row>
    <row r="9" spans="2:12">
      <c r="B9" s="292"/>
      <c r="C9" s="289"/>
      <c r="D9" s="289"/>
      <c r="E9" s="289"/>
      <c r="F9" s="289"/>
      <c r="G9" s="309"/>
      <c r="H9" s="289"/>
      <c r="I9" s="289"/>
      <c r="J9" s="309"/>
      <c r="K9" s="289"/>
      <c r="L9" s="290"/>
    </row>
    <row r="10" spans="2:12" ht="22.5" customHeight="1">
      <c r="B10" s="292"/>
      <c r="C10" s="293" t="s">
        <v>35</v>
      </c>
      <c r="D10" s="289"/>
      <c r="E10" s="289"/>
      <c r="F10" s="289"/>
      <c r="G10" s="309"/>
      <c r="H10" s="289"/>
      <c r="I10" s="289">
        <f>AJ!J63</f>
        <v>43413656.399999999</v>
      </c>
      <c r="J10" s="309"/>
      <c r="K10" s="289"/>
      <c r="L10" s="290">
        <f>-E10+F10-H10+I10</f>
        <v>43413656.399999999</v>
      </c>
    </row>
    <row r="11" spans="2:12" ht="15.75">
      <c r="B11" s="292"/>
      <c r="C11" s="294"/>
      <c r="D11" s="289"/>
      <c r="E11" s="289"/>
      <c r="F11" s="289"/>
      <c r="G11" s="309"/>
      <c r="H11" s="289"/>
      <c r="I11" s="289"/>
      <c r="J11" s="309"/>
      <c r="K11" s="289"/>
      <c r="L11" s="290"/>
    </row>
    <row r="12" spans="2:12" ht="24" customHeight="1">
      <c r="B12" s="292"/>
      <c r="C12" s="293" t="s">
        <v>37</v>
      </c>
      <c r="D12" s="289"/>
      <c r="E12" s="289"/>
      <c r="F12" s="289"/>
      <c r="G12" s="309"/>
      <c r="H12" s="289"/>
      <c r="I12" s="289">
        <f>AJ!G12</f>
        <v>38508150</v>
      </c>
      <c r="J12" s="309"/>
      <c r="K12" s="289"/>
      <c r="L12" s="290">
        <f>-E12+F12-H12+I12</f>
        <v>38508150</v>
      </c>
    </row>
    <row r="13" spans="2:12" ht="15.75">
      <c r="B13" s="292"/>
      <c r="C13" s="295"/>
      <c r="D13" s="289"/>
      <c r="E13" s="289"/>
      <c r="F13" s="289"/>
      <c r="G13" s="309"/>
      <c r="H13" s="289"/>
      <c r="I13" s="289"/>
      <c r="J13" s="309"/>
      <c r="K13" s="289"/>
      <c r="L13" s="290"/>
    </row>
    <row r="14" spans="2:12" ht="23.25" customHeight="1">
      <c r="B14" s="296"/>
      <c r="C14" s="293" t="s">
        <v>38</v>
      </c>
      <c r="D14" s="289"/>
      <c r="E14" s="289"/>
      <c r="F14" s="289"/>
      <c r="G14" s="309"/>
      <c r="H14" s="289"/>
      <c r="I14" s="289">
        <f>AJ!G11</f>
        <v>179704700</v>
      </c>
      <c r="J14" s="309"/>
      <c r="K14" s="289"/>
      <c r="L14" s="290">
        <f>-E14+F14-H14+I14</f>
        <v>179704700</v>
      </c>
    </row>
    <row r="15" spans="2:12" ht="15.75">
      <c r="B15" s="292"/>
      <c r="C15" s="295"/>
      <c r="D15" s="289"/>
      <c r="E15" s="289"/>
      <c r="F15" s="289"/>
      <c r="G15" s="309"/>
      <c r="H15" s="289"/>
      <c r="I15" s="289"/>
      <c r="J15" s="309"/>
      <c r="K15" s="289"/>
      <c r="L15" s="290"/>
    </row>
    <row r="16" spans="2:12" ht="15.75">
      <c r="B16" s="292"/>
      <c r="C16" s="293" t="s">
        <v>237</v>
      </c>
      <c r="D16" s="289"/>
      <c r="E16" s="289"/>
      <c r="F16" s="289"/>
      <c r="G16" s="309"/>
      <c r="H16" s="289"/>
      <c r="I16" s="289"/>
      <c r="J16" s="309"/>
      <c r="K16" s="289"/>
      <c r="L16" s="290"/>
    </row>
    <row r="17" spans="2:12" ht="15.75">
      <c r="B17" s="292"/>
      <c r="C17" s="293" t="s">
        <v>217</v>
      </c>
      <c r="D17" s="289"/>
      <c r="E17" s="289">
        <v>80112530</v>
      </c>
      <c r="F17" s="289"/>
      <c r="G17" s="309"/>
      <c r="H17" s="289">
        <f>AJ!F10</f>
        <v>333963746</v>
      </c>
      <c r="I17" s="289">
        <f>AJ!G57</f>
        <v>366482831.44</v>
      </c>
      <c r="J17" s="309"/>
      <c r="K17" s="289">
        <f>E17-F17+H17-I17</f>
        <v>47593444.560000002</v>
      </c>
      <c r="L17" s="290"/>
    </row>
    <row r="18" spans="2:12" ht="25.5" customHeight="1">
      <c r="B18" s="292"/>
      <c r="C18" s="293" t="s">
        <v>238</v>
      </c>
      <c r="D18" s="289"/>
      <c r="E18" s="289">
        <v>134507740</v>
      </c>
      <c r="F18" s="289"/>
      <c r="G18" s="309"/>
      <c r="H18" s="289">
        <f>AJ!I62+AJ!F77</f>
        <v>151961662.40000001</v>
      </c>
      <c r="I18" s="289">
        <f>AJ!J72</f>
        <v>178416000</v>
      </c>
      <c r="J18" s="309"/>
      <c r="K18" s="289">
        <f>E18-F18+H18-I18</f>
        <v>108053402.39999998</v>
      </c>
      <c r="L18" s="290"/>
    </row>
    <row r="19" spans="2:12" ht="15.75">
      <c r="B19" s="292"/>
      <c r="C19" s="293"/>
      <c r="D19" s="289"/>
      <c r="E19" s="289"/>
      <c r="F19" s="289"/>
      <c r="G19" s="309"/>
      <c r="H19" s="289"/>
      <c r="I19" s="289"/>
      <c r="J19" s="309"/>
      <c r="K19" s="289"/>
      <c r="L19" s="290"/>
    </row>
    <row r="20" spans="2:12" ht="15.75">
      <c r="B20" s="292"/>
      <c r="C20" s="293" t="s">
        <v>241</v>
      </c>
      <c r="D20" s="289"/>
      <c r="E20" s="289"/>
      <c r="F20" s="289">
        <v>214620270</v>
      </c>
      <c r="G20" s="309"/>
      <c r="H20" s="289"/>
      <c r="I20" s="289"/>
      <c r="J20" s="309"/>
      <c r="K20" s="289"/>
      <c r="L20" s="290">
        <f>-E20+F20-H20+I20</f>
        <v>214620270</v>
      </c>
    </row>
    <row r="21" spans="2:12" ht="15.75">
      <c r="B21" s="292"/>
      <c r="C21" s="293"/>
      <c r="D21" s="289"/>
      <c r="E21" s="289"/>
      <c r="F21" s="289"/>
      <c r="G21" s="309"/>
      <c r="H21" s="289"/>
      <c r="I21" s="289"/>
      <c r="J21" s="309"/>
      <c r="K21" s="289"/>
      <c r="L21" s="290"/>
    </row>
    <row r="22" spans="2:12" ht="21" customHeight="1">
      <c r="B22" s="292"/>
      <c r="C22" s="293" t="s">
        <v>174</v>
      </c>
      <c r="D22" s="289"/>
      <c r="E22" s="289"/>
      <c r="F22" s="289"/>
      <c r="G22" s="309"/>
      <c r="H22" s="289">
        <f>AJ!I69</f>
        <v>108000000</v>
      </c>
      <c r="I22" s="289">
        <f>AJ!G13</f>
        <v>108000000</v>
      </c>
      <c r="J22" s="309"/>
      <c r="K22" s="289">
        <f>H22-I22:I22</f>
        <v>0</v>
      </c>
      <c r="L22" s="290"/>
    </row>
    <row r="23" spans="2:12" ht="15.75">
      <c r="B23" s="292"/>
      <c r="C23" s="293" t="s">
        <v>239</v>
      </c>
      <c r="D23" s="289"/>
      <c r="E23" s="289"/>
      <c r="F23" s="289"/>
      <c r="G23" s="309"/>
      <c r="H23" s="289"/>
      <c r="I23" s="289"/>
      <c r="J23" s="309"/>
      <c r="K23" s="289">
        <f t="shared" ref="K23:K64" si="0">H23-I23:I23</f>
        <v>0</v>
      </c>
      <c r="L23" s="290"/>
    </row>
    <row r="24" spans="2:12" ht="13.5" customHeight="1">
      <c r="B24" s="292"/>
      <c r="C24" s="293"/>
      <c r="D24" s="289"/>
      <c r="E24" s="289"/>
      <c r="F24" s="289"/>
      <c r="G24" s="309"/>
      <c r="H24" s="289"/>
      <c r="I24" s="289"/>
      <c r="J24" s="309"/>
      <c r="K24" s="289">
        <f t="shared" si="0"/>
        <v>0</v>
      </c>
      <c r="L24" s="290"/>
    </row>
    <row r="25" spans="2:12" ht="16.5">
      <c r="B25" s="292"/>
      <c r="C25" s="297" t="s">
        <v>41</v>
      </c>
      <c r="D25" s="289"/>
      <c r="E25" s="289"/>
      <c r="F25" s="289"/>
      <c r="G25" s="309"/>
      <c r="H25" s="289"/>
      <c r="I25" s="289"/>
      <c r="J25" s="309"/>
      <c r="K25" s="289">
        <f t="shared" si="0"/>
        <v>0</v>
      </c>
      <c r="L25" s="290"/>
    </row>
    <row r="26" spans="2:12">
      <c r="B26" s="292"/>
      <c r="C26" s="211" t="s">
        <v>58</v>
      </c>
      <c r="D26" s="289"/>
      <c r="E26" s="289"/>
      <c r="F26" s="289"/>
      <c r="G26" s="309"/>
      <c r="H26" s="289"/>
      <c r="I26" s="289"/>
      <c r="J26" s="309"/>
      <c r="K26" s="289">
        <f t="shared" si="0"/>
        <v>0</v>
      </c>
      <c r="L26" s="290"/>
    </row>
    <row r="27" spans="2:12">
      <c r="B27" s="292"/>
      <c r="C27" s="211" t="s">
        <v>3</v>
      </c>
      <c r="D27" s="289"/>
      <c r="E27" s="289"/>
      <c r="F27" s="289"/>
      <c r="G27" s="309"/>
      <c r="H27" s="289">
        <f>AJ!F21</f>
        <v>190000</v>
      </c>
      <c r="I27" s="289"/>
      <c r="J27" s="309"/>
      <c r="K27" s="289">
        <f t="shared" si="0"/>
        <v>190000</v>
      </c>
      <c r="L27" s="290"/>
    </row>
    <row r="28" spans="2:12">
      <c r="B28" s="292"/>
      <c r="C28" s="211" t="s">
        <v>10</v>
      </c>
      <c r="D28" s="289"/>
      <c r="E28" s="289"/>
      <c r="F28" s="289"/>
      <c r="G28" s="309"/>
      <c r="H28" s="289">
        <f>AJ!F22</f>
        <v>3543000</v>
      </c>
      <c r="I28" s="289">
        <f>AJ!G86+AJ!G85</f>
        <v>535000</v>
      </c>
      <c r="J28" s="309"/>
      <c r="K28" s="289">
        <f t="shared" si="0"/>
        <v>3008000</v>
      </c>
      <c r="L28" s="290"/>
    </row>
    <row r="29" spans="2:12">
      <c r="B29" s="292"/>
      <c r="C29" s="211" t="s">
        <v>4</v>
      </c>
      <c r="D29" s="289"/>
      <c r="E29" s="289"/>
      <c r="F29" s="289"/>
      <c r="G29" s="309"/>
      <c r="H29" s="289">
        <f>AJ!F23</f>
        <v>4600000</v>
      </c>
      <c r="I29" s="289"/>
      <c r="J29" s="309"/>
      <c r="K29" s="289">
        <f t="shared" si="0"/>
        <v>4600000</v>
      </c>
      <c r="L29" s="290"/>
    </row>
    <row r="30" spans="2:12">
      <c r="B30" s="292"/>
      <c r="C30" s="211" t="s">
        <v>15</v>
      </c>
      <c r="D30" s="289"/>
      <c r="E30" s="289"/>
      <c r="F30" s="289"/>
      <c r="G30" s="309"/>
      <c r="H30" s="289">
        <f>AJ!F24</f>
        <v>1500000</v>
      </c>
      <c r="I30" s="289"/>
      <c r="J30" s="309"/>
      <c r="K30" s="289">
        <f t="shared" si="0"/>
        <v>1500000</v>
      </c>
      <c r="L30" s="290"/>
    </row>
    <row r="31" spans="2:12">
      <c r="B31" s="292"/>
      <c r="C31" s="306" t="s">
        <v>177</v>
      </c>
      <c r="D31" s="289"/>
      <c r="E31" s="289"/>
      <c r="F31" s="289"/>
      <c r="G31" s="309"/>
      <c r="H31" s="289">
        <f>AJ!F20</f>
        <v>828000</v>
      </c>
      <c r="I31" s="289"/>
      <c r="J31" s="309"/>
      <c r="K31" s="289">
        <f t="shared" si="0"/>
        <v>828000</v>
      </c>
      <c r="L31" s="290"/>
    </row>
    <row r="32" spans="2:12" ht="15.75">
      <c r="B32" s="292"/>
      <c r="C32" s="294" t="s">
        <v>184</v>
      </c>
      <c r="D32" s="289"/>
      <c r="E32" s="289"/>
      <c r="F32" s="289"/>
      <c r="G32" s="309"/>
      <c r="H32" s="289">
        <f>AJ!F25</f>
        <v>55000000</v>
      </c>
      <c r="I32" s="289"/>
      <c r="J32" s="309"/>
      <c r="K32" s="289">
        <f t="shared" si="0"/>
        <v>55000000</v>
      </c>
      <c r="L32" s="290"/>
    </row>
    <row r="33" spans="2:12" ht="30" customHeight="1">
      <c r="B33" s="292"/>
      <c r="C33" s="297" t="s">
        <v>42</v>
      </c>
      <c r="D33" s="289"/>
      <c r="E33" s="289"/>
      <c r="F33" s="289"/>
      <c r="G33" s="309"/>
      <c r="H33" s="289"/>
      <c r="I33" s="289"/>
      <c r="J33" s="309"/>
      <c r="K33" s="289">
        <f t="shared" si="0"/>
        <v>0</v>
      </c>
      <c r="L33" s="290"/>
    </row>
    <row r="34" spans="2:12">
      <c r="B34" s="292"/>
      <c r="C34" s="289" t="s">
        <v>59</v>
      </c>
      <c r="D34" s="289"/>
      <c r="E34" s="289"/>
      <c r="F34" s="289"/>
      <c r="G34" s="309"/>
      <c r="H34" s="289"/>
      <c r="I34" s="289"/>
      <c r="J34" s="309"/>
      <c r="K34" s="289">
        <f t="shared" si="0"/>
        <v>0</v>
      </c>
      <c r="L34" s="290"/>
    </row>
    <row r="35" spans="2:12">
      <c r="B35" s="292"/>
      <c r="C35" s="211" t="s">
        <v>17</v>
      </c>
      <c r="D35" s="289"/>
      <c r="E35" s="289"/>
      <c r="F35" s="289"/>
      <c r="G35" s="309"/>
      <c r="H35" s="289"/>
      <c r="I35" s="289"/>
      <c r="J35" s="309"/>
      <c r="K35" s="289">
        <f t="shared" si="0"/>
        <v>0</v>
      </c>
      <c r="L35" s="290"/>
    </row>
    <row r="36" spans="2:12">
      <c r="B36" s="292"/>
      <c r="C36" s="211" t="s">
        <v>20</v>
      </c>
      <c r="D36" s="289"/>
      <c r="E36" s="289"/>
      <c r="F36" s="289"/>
      <c r="G36" s="309"/>
      <c r="H36" s="289">
        <f>AJ!F29</f>
        <v>650000</v>
      </c>
      <c r="I36" s="289"/>
      <c r="J36" s="309"/>
      <c r="K36" s="289">
        <f t="shared" si="0"/>
        <v>650000</v>
      </c>
      <c r="L36" s="290"/>
    </row>
    <row r="37" spans="2:12">
      <c r="B37" s="292"/>
      <c r="C37" s="307" t="s">
        <v>4</v>
      </c>
      <c r="D37" s="289"/>
      <c r="E37" s="289"/>
      <c r="F37" s="289"/>
      <c r="G37" s="309"/>
      <c r="H37" s="289">
        <f>AJ!F30</f>
        <v>1300000</v>
      </c>
      <c r="I37" s="289"/>
      <c r="J37" s="309"/>
      <c r="K37" s="289">
        <f t="shared" si="0"/>
        <v>1300000</v>
      </c>
      <c r="L37" s="290"/>
    </row>
    <row r="38" spans="2:12" ht="39.75" customHeight="1">
      <c r="B38" s="291"/>
      <c r="C38" s="297" t="s">
        <v>43</v>
      </c>
      <c r="D38" s="289"/>
      <c r="E38" s="289"/>
      <c r="F38" s="289"/>
      <c r="G38" s="309"/>
      <c r="H38" s="289"/>
      <c r="I38" s="289"/>
      <c r="J38" s="309"/>
      <c r="K38" s="289">
        <f t="shared" si="0"/>
        <v>0</v>
      </c>
      <c r="L38" s="290"/>
    </row>
    <row r="39" spans="2:12">
      <c r="B39" s="291"/>
      <c r="C39" s="211" t="s">
        <v>7</v>
      </c>
      <c r="D39" s="289"/>
      <c r="E39" s="289"/>
      <c r="F39" s="289"/>
      <c r="G39" s="309"/>
      <c r="H39" s="289">
        <f>AJ!F33</f>
        <v>8330000</v>
      </c>
      <c r="I39" s="289"/>
      <c r="J39" s="309"/>
      <c r="K39" s="289">
        <f t="shared" si="0"/>
        <v>8330000</v>
      </c>
      <c r="L39" s="290"/>
    </row>
    <row r="40" spans="2:12">
      <c r="B40" s="291"/>
      <c r="C40" s="211" t="s">
        <v>8</v>
      </c>
      <c r="D40" s="289"/>
      <c r="E40" s="289"/>
      <c r="F40" s="289"/>
      <c r="G40" s="309"/>
      <c r="H40" s="289">
        <f>AJ!F34</f>
        <v>0</v>
      </c>
      <c r="I40" s="289"/>
      <c r="J40" s="309"/>
      <c r="K40" s="289">
        <f t="shared" si="0"/>
        <v>0</v>
      </c>
      <c r="L40" s="290"/>
    </row>
    <row r="41" spans="2:12">
      <c r="B41" s="291"/>
      <c r="C41" s="211" t="s">
        <v>9</v>
      </c>
      <c r="D41" s="289"/>
      <c r="E41" s="289"/>
      <c r="F41" s="289"/>
      <c r="G41" s="309"/>
      <c r="H41" s="289">
        <f>AJ!F35</f>
        <v>38977790</v>
      </c>
      <c r="I41" s="289"/>
      <c r="J41" s="309"/>
      <c r="K41" s="289">
        <f t="shared" si="0"/>
        <v>38977790</v>
      </c>
      <c r="L41" s="290"/>
    </row>
    <row r="42" spans="2:12">
      <c r="B42" s="291"/>
      <c r="C42" s="211" t="s">
        <v>18</v>
      </c>
      <c r="D42" s="289"/>
      <c r="E42" s="289"/>
      <c r="F42" s="289"/>
      <c r="G42" s="309"/>
      <c r="H42" s="289">
        <f>AJ!F36+AJ!I68+AJ!I71</f>
        <v>19995850</v>
      </c>
      <c r="I42" s="289"/>
      <c r="J42" s="309"/>
      <c r="K42" s="289">
        <f t="shared" si="0"/>
        <v>19995850</v>
      </c>
      <c r="L42" s="290"/>
    </row>
    <row r="43" spans="2:12">
      <c r="B43" s="291"/>
      <c r="C43" s="211" t="s">
        <v>16</v>
      </c>
      <c r="D43" s="289"/>
      <c r="E43" s="289"/>
      <c r="F43" s="289"/>
      <c r="G43" s="309"/>
      <c r="H43" s="289">
        <f>AJ!F37</f>
        <v>0</v>
      </c>
      <c r="I43" s="289"/>
      <c r="J43" s="309"/>
      <c r="K43" s="289">
        <f t="shared" si="0"/>
        <v>0</v>
      </c>
      <c r="L43" s="290"/>
    </row>
    <row r="44" spans="2:12">
      <c r="B44" s="291"/>
      <c r="C44" s="252" t="s">
        <v>178</v>
      </c>
      <c r="D44" s="289"/>
      <c r="E44" s="289"/>
      <c r="F44" s="289"/>
      <c r="G44" s="309"/>
      <c r="H44" s="289">
        <f>AJ!F38</f>
        <v>4617000</v>
      </c>
      <c r="I44" s="289"/>
      <c r="J44" s="309"/>
      <c r="K44" s="289">
        <f t="shared" si="0"/>
        <v>4617000</v>
      </c>
      <c r="L44" s="290"/>
    </row>
    <row r="45" spans="2:12">
      <c r="B45" s="291"/>
      <c r="C45" s="211" t="s">
        <v>19</v>
      </c>
      <c r="D45" s="289"/>
      <c r="E45" s="289"/>
      <c r="F45" s="289"/>
      <c r="G45" s="309"/>
      <c r="H45" s="289">
        <f>AJ!F39</f>
        <v>1474577</v>
      </c>
      <c r="I45" s="289"/>
      <c r="J45" s="309"/>
      <c r="K45" s="289">
        <f t="shared" si="0"/>
        <v>1474577</v>
      </c>
      <c r="L45" s="290"/>
    </row>
    <row r="46" spans="2:12">
      <c r="B46" s="291"/>
      <c r="C46" s="211" t="s">
        <v>161</v>
      </c>
      <c r="D46" s="289"/>
      <c r="E46" s="289"/>
      <c r="F46" s="289"/>
      <c r="G46" s="309"/>
      <c r="H46" s="289">
        <f>AJ!F40+AJ!I67+AJ!I70</f>
        <v>100028147</v>
      </c>
      <c r="I46" s="289"/>
      <c r="J46" s="309"/>
      <c r="K46" s="289">
        <f t="shared" si="0"/>
        <v>100028147</v>
      </c>
      <c r="L46" s="290"/>
    </row>
    <row r="47" spans="2:12" ht="16.5">
      <c r="B47" s="291"/>
      <c r="C47" s="299" t="s">
        <v>179</v>
      </c>
      <c r="D47" s="289"/>
      <c r="E47" s="289"/>
      <c r="F47" s="289"/>
      <c r="G47" s="309"/>
      <c r="H47" s="289">
        <f>AJ!F41</f>
        <v>37800000</v>
      </c>
      <c r="I47" s="289"/>
      <c r="J47" s="309"/>
      <c r="K47" s="289">
        <f t="shared" si="0"/>
        <v>37800000</v>
      </c>
      <c r="L47" s="290"/>
    </row>
    <row r="48" spans="2:12" ht="22.5" customHeight="1">
      <c r="B48" s="292"/>
      <c r="C48" s="297" t="s">
        <v>44</v>
      </c>
      <c r="D48" s="289"/>
      <c r="E48" s="289"/>
      <c r="F48" s="289"/>
      <c r="G48" s="309"/>
      <c r="H48" s="289"/>
      <c r="I48" s="289"/>
      <c r="J48" s="309"/>
      <c r="K48" s="289">
        <f t="shared" si="0"/>
        <v>0</v>
      </c>
      <c r="L48" s="290"/>
    </row>
    <row r="49" spans="2:12" ht="27" customHeight="1">
      <c r="B49" s="292"/>
      <c r="C49" s="297" t="s">
        <v>45</v>
      </c>
      <c r="D49" s="289"/>
      <c r="E49" s="289"/>
      <c r="F49" s="289"/>
      <c r="G49" s="309"/>
      <c r="H49" s="289"/>
      <c r="I49" s="289"/>
      <c r="J49" s="309"/>
      <c r="K49" s="289">
        <f t="shared" si="0"/>
        <v>0</v>
      </c>
      <c r="L49" s="290"/>
    </row>
    <row r="50" spans="2:12">
      <c r="B50" s="292"/>
      <c r="C50" s="298" t="s">
        <v>6</v>
      </c>
      <c r="D50" s="289"/>
      <c r="E50" s="289"/>
      <c r="F50" s="289"/>
      <c r="G50" s="309"/>
      <c r="H50" s="289">
        <f>AJ!F44</f>
        <v>98820600</v>
      </c>
      <c r="I50" s="289">
        <f>AJ!G83</f>
        <v>4572896</v>
      </c>
      <c r="J50" s="309"/>
      <c r="K50" s="289">
        <f t="shared" si="0"/>
        <v>94247704</v>
      </c>
      <c r="L50" s="290"/>
    </row>
    <row r="51" spans="2:12" ht="15.75">
      <c r="B51" s="292"/>
      <c r="C51" s="210" t="s">
        <v>4</v>
      </c>
      <c r="D51" s="289"/>
      <c r="E51" s="289"/>
      <c r="F51" s="289"/>
      <c r="G51" s="309"/>
      <c r="H51" s="289">
        <f>AJ!F45</f>
        <v>14808000</v>
      </c>
      <c r="I51" s="289"/>
      <c r="J51" s="309"/>
      <c r="K51" s="289">
        <f t="shared" si="0"/>
        <v>14808000</v>
      </c>
      <c r="L51" s="290"/>
    </row>
    <row r="52" spans="2:12" ht="15.75">
      <c r="B52" s="292"/>
      <c r="C52" s="210" t="s">
        <v>12</v>
      </c>
      <c r="D52" s="289"/>
      <c r="E52" s="289"/>
      <c r="F52" s="289"/>
      <c r="G52" s="309"/>
      <c r="H52" s="289">
        <f>AJ!F46</f>
        <v>11118000</v>
      </c>
      <c r="I52" s="289">
        <f>AJ!G84</f>
        <v>2643000</v>
      </c>
      <c r="J52" s="309"/>
      <c r="K52" s="289">
        <f t="shared" si="0"/>
        <v>8475000</v>
      </c>
      <c r="L52" s="290"/>
    </row>
    <row r="53" spans="2:12" ht="15.75">
      <c r="B53" s="292"/>
      <c r="C53" s="210" t="s">
        <v>13</v>
      </c>
      <c r="D53" s="289"/>
      <c r="E53" s="289"/>
      <c r="F53" s="289"/>
      <c r="G53" s="309"/>
      <c r="H53" s="289">
        <f>AJ!F47</f>
        <v>1740000</v>
      </c>
      <c r="I53" s="289"/>
      <c r="J53" s="309"/>
      <c r="K53" s="289">
        <f t="shared" si="0"/>
        <v>1740000</v>
      </c>
      <c r="L53" s="290"/>
    </row>
    <row r="54" spans="2:12" ht="15.75">
      <c r="B54" s="292"/>
      <c r="C54" s="210" t="s">
        <v>14</v>
      </c>
      <c r="D54" s="289"/>
      <c r="E54" s="289"/>
      <c r="F54" s="289"/>
      <c r="G54" s="309"/>
      <c r="H54" s="289">
        <f>AJ!F48</f>
        <v>2825000</v>
      </c>
      <c r="I54" s="289"/>
      <c r="J54" s="309"/>
      <c r="K54" s="289">
        <f t="shared" si="0"/>
        <v>2825000</v>
      </c>
      <c r="L54" s="290"/>
    </row>
    <row r="55" spans="2:12" ht="15.75">
      <c r="B55" s="292"/>
      <c r="C55" s="210" t="s">
        <v>162</v>
      </c>
      <c r="D55" s="289"/>
      <c r="E55" s="289"/>
      <c r="F55" s="289"/>
      <c r="G55" s="309"/>
      <c r="H55" s="289">
        <f>AJ!F49</f>
        <v>596000</v>
      </c>
      <c r="I55" s="289"/>
      <c r="J55" s="309"/>
      <c r="K55" s="289">
        <f t="shared" si="0"/>
        <v>596000</v>
      </c>
      <c r="L55" s="290"/>
    </row>
    <row r="56" spans="2:12" ht="16.5">
      <c r="B56" s="292"/>
      <c r="C56" s="297"/>
      <c r="D56" s="289"/>
      <c r="E56" s="289"/>
      <c r="F56" s="289"/>
      <c r="G56" s="309"/>
      <c r="H56" s="289"/>
      <c r="I56" s="289"/>
      <c r="J56" s="309"/>
      <c r="K56" s="289">
        <f t="shared" si="0"/>
        <v>0</v>
      </c>
      <c r="L56" s="290"/>
    </row>
    <row r="57" spans="2:12" ht="23.25" customHeight="1">
      <c r="B57" s="292"/>
      <c r="C57" s="297" t="s">
        <v>57</v>
      </c>
      <c r="D57" s="289"/>
      <c r="E57" s="289"/>
      <c r="F57" s="289"/>
      <c r="G57" s="309"/>
      <c r="H57" s="289"/>
      <c r="I57" s="289"/>
      <c r="J57" s="309"/>
      <c r="K57" s="289">
        <f t="shared" si="0"/>
        <v>0</v>
      </c>
      <c r="L57" s="290"/>
    </row>
    <row r="58" spans="2:12">
      <c r="B58" s="292"/>
      <c r="C58" s="218" t="s">
        <v>182</v>
      </c>
      <c r="D58" s="289"/>
      <c r="E58" s="289"/>
      <c r="F58" s="289"/>
      <c r="G58" s="309"/>
      <c r="H58" s="289">
        <f>AJ!F51</f>
        <v>15038700</v>
      </c>
      <c r="I58" s="289"/>
      <c r="J58" s="309"/>
      <c r="K58" s="289">
        <f t="shared" si="0"/>
        <v>15038700</v>
      </c>
      <c r="L58" s="290"/>
    </row>
    <row r="59" spans="2:12">
      <c r="B59" s="292"/>
      <c r="C59" s="218" t="s">
        <v>11</v>
      </c>
      <c r="D59" s="289"/>
      <c r="E59" s="289"/>
      <c r="F59" s="289"/>
      <c r="G59" s="309"/>
      <c r="H59" s="289">
        <f>AJ!F52</f>
        <v>900000</v>
      </c>
      <c r="I59" s="289"/>
      <c r="J59" s="309"/>
      <c r="K59" s="289">
        <f t="shared" si="0"/>
        <v>900000</v>
      </c>
      <c r="L59" s="290"/>
    </row>
    <row r="60" spans="2:12">
      <c r="B60" s="292"/>
      <c r="C60" s="252" t="s">
        <v>180</v>
      </c>
      <c r="D60" s="289"/>
      <c r="E60" s="289"/>
      <c r="F60" s="289"/>
      <c r="G60" s="309"/>
      <c r="H60" s="289">
        <f>AJ!F53</f>
        <v>2130000</v>
      </c>
      <c r="I60" s="289"/>
      <c r="J60" s="309"/>
      <c r="K60" s="289">
        <f t="shared" si="0"/>
        <v>2130000</v>
      </c>
      <c r="L60" s="290"/>
    </row>
    <row r="61" spans="2:12" ht="16.5">
      <c r="B61" s="231"/>
      <c r="C61" s="297" t="s">
        <v>2</v>
      </c>
      <c r="D61" s="289"/>
      <c r="E61" s="289"/>
      <c r="F61" s="289"/>
      <c r="G61" s="309"/>
      <c r="H61" s="289">
        <f>AJ!F55</f>
        <v>9440500</v>
      </c>
      <c r="I61" s="289"/>
      <c r="J61" s="309"/>
      <c r="K61" s="289">
        <f t="shared" si="0"/>
        <v>9440500</v>
      </c>
      <c r="L61" s="290"/>
    </row>
    <row r="62" spans="2:12" ht="16.5">
      <c r="B62" s="292"/>
      <c r="C62" s="299"/>
      <c r="D62" s="289"/>
      <c r="E62" s="289"/>
      <c r="F62" s="289"/>
      <c r="G62" s="309"/>
      <c r="H62" s="289"/>
      <c r="I62" s="289"/>
      <c r="J62" s="309"/>
      <c r="K62" s="289">
        <f t="shared" si="0"/>
        <v>0</v>
      </c>
      <c r="L62" s="290"/>
    </row>
    <row r="63" spans="2:12" ht="16.5">
      <c r="B63" s="300"/>
      <c r="C63" s="297" t="s">
        <v>46</v>
      </c>
      <c r="D63" s="289"/>
      <c r="E63" s="289"/>
      <c r="F63" s="289"/>
      <c r="G63" s="309"/>
      <c r="H63" s="289"/>
      <c r="I63" s="289"/>
      <c r="J63" s="309"/>
      <c r="K63" s="289">
        <f t="shared" si="0"/>
        <v>0</v>
      </c>
      <c r="L63" s="290"/>
    </row>
    <row r="64" spans="2:12" ht="22.5" customHeight="1">
      <c r="B64" s="301"/>
      <c r="C64" s="299" t="s">
        <v>91</v>
      </c>
      <c r="D64" s="289"/>
      <c r="E64" s="289"/>
      <c r="F64" s="289"/>
      <c r="G64" s="309"/>
      <c r="H64" s="289">
        <f>AJ!F56</f>
        <v>647667.43999999994</v>
      </c>
      <c r="I64" s="289"/>
      <c r="J64" s="309"/>
      <c r="K64" s="289">
        <f t="shared" si="0"/>
        <v>647667.43999999994</v>
      </c>
      <c r="L64" s="290"/>
    </row>
    <row r="65" spans="2:12" ht="15.75">
      <c r="B65" s="301"/>
      <c r="C65" s="294" t="s">
        <v>26</v>
      </c>
      <c r="D65" s="289"/>
      <c r="E65" s="289"/>
      <c r="F65" s="289"/>
      <c r="G65" s="309"/>
      <c r="H65" s="289"/>
      <c r="I65" s="289">
        <f>AJ!G78</f>
        <v>108548006</v>
      </c>
      <c r="J65" s="309"/>
      <c r="K65" s="289"/>
      <c r="L65" s="290">
        <f>-H65+I65</f>
        <v>108548006</v>
      </c>
    </row>
    <row r="66" spans="2:12" ht="15.75">
      <c r="B66" s="301"/>
      <c r="C66" s="294" t="s">
        <v>222</v>
      </c>
      <c r="D66" s="289"/>
      <c r="E66" s="289"/>
      <c r="F66" s="289"/>
      <c r="G66" s="309"/>
      <c r="H66" s="289">
        <f>AJ!F82</f>
        <v>7750896</v>
      </c>
      <c r="I66" s="289">
        <f>AJ!G14</f>
        <v>7750896</v>
      </c>
      <c r="J66" s="309"/>
      <c r="K66" s="289"/>
      <c r="L66" s="290">
        <f>-H66+I66</f>
        <v>0</v>
      </c>
    </row>
    <row r="67" spans="2:12" ht="24" customHeight="1">
      <c r="B67" s="301"/>
      <c r="C67" s="293" t="s">
        <v>47</v>
      </c>
      <c r="D67" s="289"/>
      <c r="E67" s="289"/>
      <c r="F67" s="289"/>
      <c r="G67" s="309"/>
      <c r="H67" s="289"/>
      <c r="I67" s="289"/>
      <c r="J67" s="309"/>
      <c r="K67" s="289"/>
      <c r="L67" s="290"/>
    </row>
    <row r="68" spans="2:12" ht="15.75">
      <c r="B68" s="301"/>
      <c r="C68" s="302"/>
      <c r="D68" s="289"/>
      <c r="E68" s="289"/>
      <c r="F68" s="289"/>
      <c r="G68" s="309"/>
      <c r="H68" s="289"/>
      <c r="I68" s="289"/>
      <c r="J68" s="309"/>
      <c r="K68" s="289"/>
      <c r="L68" s="290"/>
    </row>
    <row r="69" spans="2:12" ht="18" thickBot="1">
      <c r="B69" s="303"/>
      <c r="C69" s="304"/>
      <c r="D69" s="305"/>
      <c r="E69" s="305">
        <f>SUM(E10:E68)</f>
        <v>214620270</v>
      </c>
      <c r="F69" s="305">
        <f t="shared" ref="F69:L69" si="1">SUM(F10:F68)</f>
        <v>214620270</v>
      </c>
      <c r="G69" s="310">
        <f t="shared" si="1"/>
        <v>0</v>
      </c>
      <c r="H69" s="305">
        <f t="shared" si="1"/>
        <v>1038575135.84</v>
      </c>
      <c r="I69" s="305">
        <f t="shared" si="1"/>
        <v>1038575135.84</v>
      </c>
      <c r="J69" s="310"/>
      <c r="K69" s="305">
        <f t="shared" si="1"/>
        <v>584794782.4000001</v>
      </c>
      <c r="L69" s="305">
        <f t="shared" si="1"/>
        <v>584794782.39999998</v>
      </c>
    </row>
  </sheetData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opLeftCell="A57" zoomScale="115" zoomScaleNormal="115" workbookViewId="0">
      <selection activeCell="B64" sqref="B64"/>
    </sheetView>
  </sheetViews>
  <sheetFormatPr defaultRowHeight="15" customHeight="1"/>
  <cols>
    <col min="1" max="1" width="2.85546875" style="21" customWidth="1"/>
    <col min="2" max="2" width="43.28515625" style="21" customWidth="1"/>
    <col min="3" max="3" width="6.42578125" style="21" customWidth="1"/>
    <col min="4" max="4" width="13.85546875" style="21" customWidth="1"/>
    <col min="5" max="5" width="13.7109375" style="21" customWidth="1"/>
    <col min="6" max="6" width="13.85546875" style="21" customWidth="1"/>
    <col min="7" max="7" width="15.28515625" style="21" customWidth="1"/>
    <col min="8" max="8" width="15" style="21" customWidth="1"/>
    <col min="9" max="9" width="13" style="21" customWidth="1"/>
    <col min="10" max="10" width="11.140625" style="21" customWidth="1"/>
    <col min="11" max="16384" width="9.140625" style="21"/>
  </cols>
  <sheetData>
    <row r="1" spans="1:10" ht="14.25" customHeight="1">
      <c r="A1" s="25"/>
      <c r="B1" s="25" t="s">
        <v>28</v>
      </c>
      <c r="C1" s="25"/>
      <c r="D1" s="26"/>
      <c r="E1" s="26"/>
      <c r="F1" s="26"/>
      <c r="G1" s="26"/>
      <c r="H1" s="26"/>
      <c r="I1" s="26"/>
      <c r="J1" s="26"/>
    </row>
    <row r="2" spans="1:10" ht="14.25" customHeight="1">
      <c r="A2" s="26"/>
      <c r="B2" s="25" t="s">
        <v>29</v>
      </c>
      <c r="C2" s="25"/>
      <c r="F2" s="26"/>
      <c r="G2" s="26"/>
      <c r="H2" s="26"/>
      <c r="I2" s="26"/>
      <c r="J2" s="26"/>
    </row>
    <row r="3" spans="1:10" ht="14.25" customHeight="1">
      <c r="A3" s="26"/>
      <c r="B3" s="27"/>
      <c r="C3" s="25"/>
      <c r="F3" s="26"/>
      <c r="G3" s="26"/>
      <c r="H3" s="26"/>
      <c r="I3" s="26"/>
      <c r="J3" s="26"/>
    </row>
    <row r="4" spans="1:10" ht="14.25" customHeight="1">
      <c r="A4" s="28"/>
      <c r="B4" s="336" t="s">
        <v>30</v>
      </c>
      <c r="C4" s="25"/>
      <c r="D4" s="26"/>
      <c r="E4" s="26"/>
      <c r="F4" s="26"/>
      <c r="I4" s="26"/>
      <c r="J4" s="26"/>
    </row>
    <row r="5" spans="1:10" ht="14.25" customHeight="1">
      <c r="A5" s="26"/>
      <c r="B5" s="337" t="s">
        <v>213</v>
      </c>
      <c r="C5" s="25"/>
      <c r="D5" s="26"/>
      <c r="E5" s="26"/>
      <c r="F5" s="26"/>
      <c r="H5" s="29"/>
      <c r="I5" s="26"/>
      <c r="J5" s="26"/>
    </row>
    <row r="6" spans="1:10" ht="14.25" customHeight="1">
      <c r="A6" s="17"/>
      <c r="C6" s="17"/>
      <c r="D6" s="29" t="s">
        <v>31</v>
      </c>
      <c r="E6" s="29" t="s">
        <v>32</v>
      </c>
      <c r="F6" s="29" t="s">
        <v>32</v>
      </c>
      <c r="H6" s="29"/>
      <c r="I6" s="29"/>
      <c r="J6" s="29"/>
    </row>
    <row r="7" spans="1:10" ht="14.25" customHeight="1">
      <c r="A7" s="17"/>
      <c r="B7" s="17"/>
      <c r="C7" s="17"/>
      <c r="D7" s="29" t="s">
        <v>33</v>
      </c>
      <c r="E7" s="29" t="s">
        <v>48</v>
      </c>
      <c r="F7" s="29" t="s">
        <v>258</v>
      </c>
      <c r="H7" s="29"/>
      <c r="I7" s="29"/>
      <c r="J7" s="29"/>
    </row>
    <row r="8" spans="1:10" ht="14.25" customHeight="1">
      <c r="A8" s="17"/>
      <c r="B8" s="30"/>
      <c r="C8" s="30"/>
      <c r="D8" s="29" t="s">
        <v>60</v>
      </c>
      <c r="E8" s="29" t="s">
        <v>49</v>
      </c>
      <c r="F8" s="29" t="s">
        <v>49</v>
      </c>
      <c r="H8" s="29"/>
      <c r="I8" s="29"/>
      <c r="J8" s="29"/>
    </row>
    <row r="9" spans="1:10" ht="14.25" customHeight="1">
      <c r="A9" s="26"/>
      <c r="B9" s="30"/>
      <c r="C9" s="31" t="s">
        <v>34</v>
      </c>
      <c r="D9" s="29" t="s">
        <v>211</v>
      </c>
      <c r="E9" s="29" t="s">
        <v>212</v>
      </c>
      <c r="F9" s="29" t="s">
        <v>50</v>
      </c>
      <c r="H9" s="29"/>
      <c r="I9" s="29"/>
      <c r="J9" s="29"/>
    </row>
    <row r="10" spans="1:10" ht="14.25" customHeight="1">
      <c r="A10" s="17"/>
      <c r="B10" s="30" t="s">
        <v>35</v>
      </c>
      <c r="D10" s="29"/>
      <c r="E10" s="29" t="s">
        <v>0</v>
      </c>
      <c r="F10" s="29" t="s">
        <v>0</v>
      </c>
      <c r="H10" s="29"/>
      <c r="I10" s="29"/>
      <c r="J10" s="29"/>
    </row>
    <row r="11" spans="1:10" ht="14.25" customHeight="1">
      <c r="A11" s="17"/>
      <c r="B11" s="17" t="s">
        <v>36</v>
      </c>
      <c r="C11" s="32">
        <v>3.1</v>
      </c>
      <c r="D11" s="354">
        <v>38508150</v>
      </c>
      <c r="E11" s="36">
        <f>'notes 2-5'!D17</f>
        <v>43413656.399999999</v>
      </c>
      <c r="F11" s="354">
        <v>81163852</v>
      </c>
      <c r="H11" s="33"/>
      <c r="I11" s="18"/>
      <c r="J11" s="18"/>
    </row>
    <row r="12" spans="1:10" ht="14.25" customHeight="1">
      <c r="D12" s="355"/>
      <c r="E12" s="36"/>
      <c r="F12" s="358"/>
      <c r="H12" s="35"/>
    </row>
    <row r="13" spans="1:10" ht="14.25" customHeight="1">
      <c r="D13" s="355"/>
      <c r="E13" s="36"/>
      <c r="F13" s="358"/>
      <c r="H13" s="35"/>
    </row>
    <row r="14" spans="1:10" ht="14.25" customHeight="1">
      <c r="A14" s="17"/>
      <c r="B14" s="30" t="s">
        <v>37</v>
      </c>
      <c r="D14" s="176"/>
      <c r="E14" s="315"/>
      <c r="F14" s="349"/>
      <c r="H14" s="18"/>
      <c r="I14" s="18"/>
      <c r="J14" s="18"/>
    </row>
    <row r="15" spans="1:10" ht="14.25" customHeight="1">
      <c r="A15" s="17"/>
      <c r="B15" s="17" t="s">
        <v>36</v>
      </c>
      <c r="C15" s="32">
        <v>3.2</v>
      </c>
      <c r="D15" s="354">
        <v>38508150</v>
      </c>
      <c r="E15" s="316">
        <f>'notes 2-5'!D20</f>
        <v>38508150</v>
      </c>
      <c r="F15" s="348">
        <v>81634631</v>
      </c>
      <c r="H15" s="38"/>
      <c r="I15" s="18"/>
      <c r="J15" s="18"/>
    </row>
    <row r="16" spans="1:10" ht="14.25" customHeight="1">
      <c r="A16" s="17"/>
      <c r="B16" s="17"/>
      <c r="C16" s="17"/>
      <c r="D16" s="355"/>
      <c r="E16" s="316"/>
      <c r="F16" s="358"/>
      <c r="H16" s="39"/>
      <c r="I16" s="18"/>
      <c r="J16" s="18"/>
    </row>
    <row r="17" spans="1:10" ht="14.25" customHeight="1">
      <c r="A17" s="17"/>
      <c r="B17" s="17"/>
      <c r="C17" s="17"/>
      <c r="D17" s="355"/>
      <c r="E17" s="316"/>
      <c r="F17" s="358"/>
      <c r="H17" s="39"/>
      <c r="I17" s="18"/>
      <c r="J17" s="18"/>
    </row>
    <row r="18" spans="1:10" ht="14.25" customHeight="1">
      <c r="A18" s="17"/>
      <c r="B18" s="30" t="s">
        <v>38</v>
      </c>
      <c r="D18" s="176"/>
      <c r="E18" s="357"/>
      <c r="F18" s="349"/>
      <c r="H18" s="18"/>
      <c r="I18" s="18"/>
      <c r="J18" s="18"/>
    </row>
    <row r="19" spans="1:10" ht="14.25" customHeight="1">
      <c r="A19" s="17"/>
      <c r="B19" s="17" t="s">
        <v>36</v>
      </c>
      <c r="C19" s="32">
        <v>3.3</v>
      </c>
      <c r="D19" s="354">
        <v>179704700</v>
      </c>
      <c r="E19" s="316">
        <f>'notes 2-5'!D25</f>
        <v>179704700</v>
      </c>
      <c r="F19" s="348">
        <v>163269157</v>
      </c>
      <c r="H19" s="38"/>
      <c r="I19" s="18"/>
      <c r="J19" s="18"/>
    </row>
    <row r="20" spans="1:10" ht="14.25" customHeight="1">
      <c r="A20" s="17"/>
      <c r="B20" s="17"/>
      <c r="C20" s="17"/>
      <c r="D20" s="355"/>
      <c r="E20" s="316"/>
      <c r="F20" s="358"/>
      <c r="H20" s="39"/>
      <c r="I20" s="18"/>
      <c r="J20" s="18"/>
    </row>
    <row r="21" spans="1:10" ht="14.25" customHeight="1">
      <c r="A21" s="17"/>
      <c r="B21" s="17"/>
      <c r="C21" s="17"/>
      <c r="D21" s="176"/>
      <c r="E21" s="322"/>
      <c r="F21" s="349"/>
      <c r="H21" s="40"/>
      <c r="I21" s="18"/>
      <c r="J21" s="18"/>
    </row>
    <row r="22" spans="1:10" ht="14.25" customHeight="1">
      <c r="A22" s="17"/>
      <c r="B22" s="30" t="s">
        <v>39</v>
      </c>
      <c r="C22" s="30"/>
      <c r="D22" s="355">
        <f>D11+D15+D19</f>
        <v>256721000</v>
      </c>
      <c r="E22" s="358">
        <f>E11+E15+E19</f>
        <v>261626506.40000001</v>
      </c>
      <c r="F22" s="348">
        <v>326067640</v>
      </c>
      <c r="H22" s="41"/>
      <c r="I22" s="18"/>
      <c r="J22" s="18"/>
    </row>
    <row r="23" spans="1:10" ht="14.25" customHeight="1">
      <c r="A23" s="17"/>
      <c r="B23" s="30"/>
      <c r="C23" s="30"/>
      <c r="D23" s="356"/>
      <c r="E23" s="357"/>
      <c r="F23" s="357"/>
      <c r="H23" s="41"/>
      <c r="I23" s="18"/>
      <c r="J23" s="18"/>
    </row>
    <row r="24" spans="1:10" ht="14.25" customHeight="1">
      <c r="A24" s="17"/>
      <c r="B24" s="30" t="s">
        <v>79</v>
      </c>
      <c r="C24" s="32">
        <v>3.4</v>
      </c>
      <c r="D24" s="176">
        <v>0</v>
      </c>
      <c r="E24" s="357">
        <f>'notes 2-5'!D30</f>
        <v>108548006</v>
      </c>
      <c r="F24" s="176">
        <v>49976500</v>
      </c>
      <c r="H24" s="35"/>
      <c r="I24" s="18"/>
      <c r="J24" s="18"/>
    </row>
    <row r="25" spans="1:10" ht="14.25" customHeight="1">
      <c r="A25" s="17"/>
      <c r="B25" s="30"/>
      <c r="C25" s="32"/>
      <c r="D25" s="316">
        <f>D22+D24</f>
        <v>256721000</v>
      </c>
      <c r="E25" s="316">
        <f t="shared" ref="E25:F25" si="0">E22+E24</f>
        <v>370174512.39999998</v>
      </c>
      <c r="F25" s="319">
        <f t="shared" si="0"/>
        <v>376044140</v>
      </c>
      <c r="H25" s="35"/>
      <c r="I25" s="18"/>
      <c r="J25" s="18"/>
    </row>
    <row r="26" spans="1:10" ht="18.75" customHeight="1">
      <c r="A26" s="17"/>
      <c r="B26" s="30"/>
      <c r="C26" s="30"/>
      <c r="D26" s="34"/>
      <c r="E26" s="355"/>
      <c r="F26" s="355"/>
      <c r="H26" s="35"/>
      <c r="I26" s="18"/>
      <c r="J26" s="18"/>
    </row>
    <row r="27" spans="1:10" ht="14.25" customHeight="1">
      <c r="A27" s="17"/>
      <c r="B27" s="30"/>
      <c r="C27" s="30"/>
      <c r="D27" s="18"/>
      <c r="E27" s="357"/>
      <c r="F27" s="349"/>
      <c r="H27" s="18"/>
      <c r="I27" s="18"/>
      <c r="J27" s="18"/>
    </row>
    <row r="28" spans="1:10" ht="14.25" customHeight="1">
      <c r="A28" s="17"/>
      <c r="B28" s="30" t="s">
        <v>40</v>
      </c>
      <c r="C28" s="42"/>
      <c r="D28" s="18"/>
      <c r="E28" s="357"/>
      <c r="F28" s="349"/>
      <c r="H28" s="18"/>
      <c r="I28" s="18"/>
      <c r="J28" s="18"/>
    </row>
    <row r="29" spans="1:10" ht="17.25" customHeight="1">
      <c r="A29" s="17"/>
      <c r="B29" s="30" t="s">
        <v>90</v>
      </c>
      <c r="C29" s="42"/>
      <c r="D29" s="321">
        <v>177890000</v>
      </c>
      <c r="E29" s="322">
        <f>'notes 1 '!E15</f>
        <v>193424147</v>
      </c>
      <c r="F29" s="321">
        <v>242401399</v>
      </c>
      <c r="H29" s="18"/>
      <c r="I29" s="18"/>
      <c r="J29" s="18"/>
    </row>
    <row r="30" spans="1:10" ht="14.25" customHeight="1">
      <c r="A30" s="17"/>
      <c r="B30" s="30"/>
      <c r="C30" s="42"/>
      <c r="D30" s="18"/>
      <c r="E30" s="357"/>
      <c r="F30" s="349"/>
      <c r="H30" s="18"/>
      <c r="I30" s="18"/>
      <c r="J30" s="18"/>
    </row>
    <row r="31" spans="1:10" ht="14.25" customHeight="1">
      <c r="A31" s="17"/>
      <c r="B31" s="43" t="s">
        <v>41</v>
      </c>
      <c r="C31" s="44">
        <v>1.1000000000000001</v>
      </c>
      <c r="D31" s="348">
        <v>23078000</v>
      </c>
      <c r="E31" s="355">
        <f>'notes 1 '!E26</f>
        <v>10126000</v>
      </c>
      <c r="F31" s="348">
        <v>34531150</v>
      </c>
      <c r="H31" s="34"/>
      <c r="I31" s="18"/>
      <c r="J31" s="18"/>
    </row>
    <row r="32" spans="1:10" ht="14.25" customHeight="1">
      <c r="A32" s="17"/>
      <c r="B32" s="45"/>
      <c r="C32" s="42"/>
      <c r="D32" s="18"/>
      <c r="E32" s="356"/>
      <c r="F32" s="349"/>
      <c r="H32" s="37"/>
      <c r="I32" s="18"/>
      <c r="J32" s="18"/>
    </row>
    <row r="33" spans="1:10" ht="14.25" customHeight="1">
      <c r="C33" s="46"/>
      <c r="D33" s="18"/>
      <c r="E33" s="356"/>
      <c r="F33" s="349"/>
      <c r="H33" s="37"/>
      <c r="I33" s="18"/>
      <c r="J33" s="18"/>
    </row>
    <row r="34" spans="1:10" ht="14.25" customHeight="1">
      <c r="A34" s="17"/>
      <c r="B34" s="43" t="s">
        <v>42</v>
      </c>
      <c r="C34" s="44">
        <v>1.2</v>
      </c>
      <c r="D34" s="348">
        <v>50376000</v>
      </c>
      <c r="E34" s="355">
        <f>'notes 1 '!E32</f>
        <v>1950000</v>
      </c>
      <c r="F34" s="348">
        <v>131260500</v>
      </c>
      <c r="H34" s="34"/>
      <c r="I34" s="18"/>
      <c r="J34" s="18"/>
    </row>
    <row r="35" spans="1:10" ht="14.25" customHeight="1">
      <c r="A35" s="17"/>
      <c r="B35" s="43"/>
      <c r="C35" s="44"/>
      <c r="D35" s="349"/>
      <c r="E35" s="355"/>
      <c r="F35" s="348"/>
      <c r="H35" s="34"/>
      <c r="I35" s="18"/>
      <c r="J35" s="18"/>
    </row>
    <row r="36" spans="1:10" ht="14.25" customHeight="1">
      <c r="A36" s="17"/>
      <c r="B36" s="47"/>
      <c r="C36" s="42"/>
      <c r="D36" s="349"/>
      <c r="E36" s="191"/>
      <c r="F36" s="189"/>
      <c r="I36" s="18"/>
      <c r="J36" s="18"/>
    </row>
    <row r="37" spans="1:10" ht="14.25" customHeight="1">
      <c r="A37" s="17"/>
      <c r="B37" s="43" t="s">
        <v>43</v>
      </c>
      <c r="C37" s="44">
        <v>1.3</v>
      </c>
      <c r="D37" s="348">
        <v>65328200</v>
      </c>
      <c r="E37" s="355">
        <f>'notes 1 '!E41</f>
        <v>73395217</v>
      </c>
      <c r="F37" s="348">
        <v>60804401</v>
      </c>
      <c r="H37" s="34"/>
      <c r="I37" s="18"/>
      <c r="J37" s="18"/>
    </row>
    <row r="38" spans="1:10" ht="14.25" customHeight="1">
      <c r="A38" s="17"/>
      <c r="B38" s="43"/>
      <c r="C38" s="44"/>
      <c r="D38" s="349"/>
      <c r="E38" s="355"/>
      <c r="F38" s="348"/>
      <c r="H38" s="34"/>
      <c r="I38" s="18"/>
      <c r="J38" s="18"/>
    </row>
    <row r="39" spans="1:10" ht="14.25" customHeight="1">
      <c r="A39" s="17"/>
      <c r="B39" s="43"/>
      <c r="C39" s="44"/>
      <c r="D39" s="349"/>
      <c r="E39" s="355"/>
      <c r="F39" s="348"/>
      <c r="H39" s="34"/>
      <c r="I39" s="18"/>
      <c r="J39" s="18"/>
    </row>
    <row r="40" spans="1:10" ht="14.25" customHeight="1">
      <c r="A40" s="17"/>
      <c r="B40" s="43" t="s">
        <v>44</v>
      </c>
      <c r="C40" s="46"/>
      <c r="D40" s="189"/>
      <c r="E40" s="191"/>
      <c r="F40" s="189"/>
      <c r="I40" s="18"/>
      <c r="J40" s="18"/>
    </row>
    <row r="41" spans="1:10" ht="14.25" customHeight="1">
      <c r="A41" s="17"/>
      <c r="B41" s="43" t="s">
        <v>45</v>
      </c>
      <c r="C41" s="44">
        <v>1.4</v>
      </c>
      <c r="D41" s="348">
        <v>68480000</v>
      </c>
      <c r="E41" s="355">
        <f>'notes 1 '!E48</f>
        <v>122095704</v>
      </c>
      <c r="F41" s="348">
        <v>104129550</v>
      </c>
      <c r="H41" s="34"/>
      <c r="I41" s="18"/>
      <c r="J41" s="18"/>
    </row>
    <row r="42" spans="1:10" ht="14.25" customHeight="1">
      <c r="A42" s="17"/>
      <c r="B42" s="43"/>
      <c r="C42" s="44"/>
      <c r="D42" s="349"/>
      <c r="E42" s="355"/>
      <c r="F42" s="348"/>
      <c r="H42" s="34"/>
      <c r="I42" s="18"/>
      <c r="J42" s="18"/>
    </row>
    <row r="43" spans="1:10" ht="14.25" customHeight="1">
      <c r="A43" s="17"/>
      <c r="B43" s="45"/>
      <c r="C43" s="42"/>
      <c r="D43" s="349"/>
      <c r="E43" s="356"/>
      <c r="F43" s="349"/>
      <c r="H43" s="37"/>
      <c r="I43" s="18"/>
      <c r="J43" s="18"/>
    </row>
    <row r="44" spans="1:10" ht="18.75" customHeight="1">
      <c r="A44" s="17"/>
      <c r="B44" s="43" t="s">
        <v>163</v>
      </c>
      <c r="C44" s="44">
        <v>1.5</v>
      </c>
      <c r="D44" s="320">
        <v>17368700</v>
      </c>
      <c r="E44" s="355">
        <f>'notes 1 '!E54</f>
        <v>18068700</v>
      </c>
      <c r="F44" s="348">
        <v>9314400</v>
      </c>
      <c r="H44" s="34"/>
      <c r="I44" s="18"/>
      <c r="J44" s="18"/>
    </row>
    <row r="45" spans="1:10" ht="14.25" customHeight="1">
      <c r="A45" s="17"/>
      <c r="B45" s="45"/>
      <c r="C45" s="42"/>
      <c r="D45" s="320"/>
      <c r="E45" s="191"/>
      <c r="F45" s="189"/>
      <c r="I45" s="18"/>
      <c r="J45" s="18"/>
    </row>
    <row r="46" spans="1:10" ht="14.25" customHeight="1">
      <c r="A46" s="17"/>
      <c r="B46" s="45"/>
      <c r="C46" s="42"/>
      <c r="D46" s="350"/>
      <c r="E46" s="356"/>
      <c r="F46" s="348"/>
      <c r="H46" s="37"/>
      <c r="I46" s="18"/>
      <c r="J46" s="18"/>
    </row>
    <row r="47" spans="1:10" ht="14.25" customHeight="1">
      <c r="A47" s="30"/>
      <c r="B47" s="43" t="s">
        <v>2</v>
      </c>
      <c r="C47" s="44">
        <v>1.6</v>
      </c>
      <c r="D47" s="317">
        <v>0</v>
      </c>
      <c r="E47" s="355">
        <f>'notes 1 '!E56</f>
        <v>9440500</v>
      </c>
      <c r="F47" s="348">
        <v>24323700</v>
      </c>
      <c r="H47" s="34"/>
    </row>
    <row r="48" spans="1:10" ht="14.25" customHeight="1">
      <c r="A48" s="30"/>
      <c r="B48" s="45"/>
      <c r="C48" s="44"/>
      <c r="D48" s="351"/>
      <c r="E48" s="191"/>
      <c r="F48" s="189"/>
    </row>
    <row r="49" spans="1:10" ht="14.25" customHeight="1">
      <c r="A49" s="17"/>
      <c r="B49" s="45"/>
      <c r="C49" s="44"/>
      <c r="D49" s="352"/>
      <c r="E49" s="356"/>
      <c r="F49" s="352"/>
      <c r="H49" s="37"/>
      <c r="J49" s="49"/>
    </row>
    <row r="50" spans="1:10" ht="14.25" customHeight="1">
      <c r="B50" s="43" t="s">
        <v>91</v>
      </c>
      <c r="C50" s="44">
        <v>1.7</v>
      </c>
      <c r="D50" s="317">
        <v>0</v>
      </c>
      <c r="E50" s="355">
        <f>'notes 1 '!E59</f>
        <v>647667.43999999994</v>
      </c>
      <c r="F50" s="359">
        <v>424460</v>
      </c>
      <c r="H50" s="34"/>
    </row>
    <row r="51" spans="1:10" ht="14.25" customHeight="1">
      <c r="C51" s="46"/>
      <c r="D51" s="317"/>
      <c r="E51" s="317"/>
      <c r="F51" s="359"/>
      <c r="H51" s="48"/>
    </row>
    <row r="52" spans="1:10" ht="14.25" customHeight="1">
      <c r="A52" s="30"/>
      <c r="B52" s="30" t="s">
        <v>47</v>
      </c>
      <c r="C52" s="46"/>
      <c r="D52" s="353">
        <f>D29+D31+D34+D37+D41+D44+D47</f>
        <v>402520900</v>
      </c>
      <c r="E52" s="353">
        <f>E29+E31+E34+E37+E41+E44+E47</f>
        <v>428500268</v>
      </c>
      <c r="F52" s="360">
        <v>607193560</v>
      </c>
      <c r="H52" s="50"/>
      <c r="I52" s="26"/>
      <c r="J52" s="18"/>
    </row>
    <row r="53" spans="1:10" ht="14.25" customHeight="1">
      <c r="A53" s="30"/>
      <c r="B53" s="30"/>
      <c r="C53" s="46"/>
      <c r="E53" s="191"/>
      <c r="F53" s="360"/>
      <c r="H53" s="50"/>
      <c r="I53" s="26"/>
      <c r="J53" s="18"/>
    </row>
    <row r="54" spans="1:10" ht="14.25" customHeight="1">
      <c r="A54" s="51"/>
      <c r="B54" s="52" t="s">
        <v>68</v>
      </c>
      <c r="C54" s="44">
        <v>2</v>
      </c>
      <c r="D54" s="317">
        <v>0</v>
      </c>
      <c r="E54" s="358">
        <f>'notes 2-5'!D13</f>
        <v>155646846.95999998</v>
      </c>
      <c r="F54" s="348">
        <v>241620270</v>
      </c>
      <c r="G54" s="50"/>
      <c r="H54" s="50"/>
      <c r="I54" s="26"/>
      <c r="J54" s="18"/>
    </row>
    <row r="55" spans="1:10" ht="14.25" customHeight="1">
      <c r="A55" s="51"/>
      <c r="C55" s="42"/>
      <c r="D55" s="18"/>
      <c r="E55" s="41"/>
      <c r="F55" s="318"/>
      <c r="G55" s="50"/>
      <c r="H55" s="50"/>
      <c r="I55" s="26"/>
      <c r="J55" s="18"/>
    </row>
    <row r="56" spans="1:10" ht="14.25" customHeight="1">
      <c r="A56" s="51"/>
      <c r="B56" s="52"/>
      <c r="C56" s="42"/>
      <c r="D56" s="18"/>
      <c r="E56" s="41"/>
      <c r="F56" s="318"/>
      <c r="G56" s="50"/>
      <c r="H56" s="50"/>
      <c r="I56" s="26"/>
      <c r="J56" s="18"/>
    </row>
    <row r="57" spans="1:10" ht="14.25" customHeight="1">
      <c r="A57" s="51"/>
      <c r="B57" s="52"/>
      <c r="C57" s="42"/>
      <c r="D57" s="18"/>
      <c r="E57" s="41"/>
      <c r="F57" s="50"/>
      <c r="G57" s="50"/>
      <c r="H57" s="50"/>
      <c r="I57" s="26"/>
      <c r="J57" s="18"/>
    </row>
    <row r="58" spans="1:10" ht="14.25" customHeight="1">
      <c r="A58" s="51"/>
      <c r="B58" s="52" t="s">
        <v>134</v>
      </c>
      <c r="C58" s="30"/>
      <c r="D58" s="18"/>
      <c r="E58" s="18"/>
      <c r="F58" s="50"/>
      <c r="G58" s="50"/>
      <c r="H58" s="50"/>
      <c r="I58" s="26"/>
      <c r="J58" s="18"/>
    </row>
    <row r="59" spans="1:10" ht="14.25" customHeight="1">
      <c r="A59" s="51"/>
      <c r="B59" s="17" t="s">
        <v>133</v>
      </c>
      <c r="C59" s="17"/>
      <c r="D59" s="18"/>
      <c r="E59" s="18"/>
      <c r="F59" s="19"/>
      <c r="G59" s="18"/>
      <c r="H59" s="53"/>
      <c r="I59" s="26"/>
      <c r="J59" s="18"/>
    </row>
    <row r="60" spans="1:10" ht="14.25" customHeight="1">
      <c r="B60" s="20"/>
      <c r="C60" s="20"/>
    </row>
    <row r="61" spans="1:10" ht="14.25" customHeight="1">
      <c r="B61" s="20"/>
      <c r="C61" s="20"/>
      <c r="F61" s="20"/>
    </row>
    <row r="62" spans="1:10" ht="14.25" customHeight="1">
      <c r="B62" s="20"/>
      <c r="C62" s="20"/>
    </row>
    <row r="63" spans="1:10" ht="14.25" customHeight="1"/>
    <row r="64" spans="1:10" ht="14.25" customHeight="1"/>
    <row r="65" spans="4:4" ht="14.25" customHeight="1"/>
    <row r="66" spans="4:4" ht="14.25" customHeight="1">
      <c r="D66" s="21">
        <v>13</v>
      </c>
    </row>
    <row r="67" spans="4:4" ht="14.25" customHeight="1"/>
    <row r="68" spans="4:4" ht="14.25" customHeight="1"/>
    <row r="69" spans="4:4" ht="14.25" customHeight="1"/>
    <row r="70" spans="4:4" ht="14.25" customHeight="1"/>
    <row r="71" spans="4:4" ht="14.25" customHeight="1"/>
    <row r="72" spans="4:4" ht="14.25" customHeight="1"/>
    <row r="73" spans="4:4" ht="14.25" customHeight="1"/>
    <row r="74" spans="4:4" ht="14.25" customHeight="1"/>
    <row r="75" spans="4:4" ht="14.25" customHeight="1"/>
    <row r="76" spans="4:4" ht="14.25" customHeight="1"/>
    <row r="77" spans="4:4" ht="14.25" customHeight="1"/>
    <row r="80" spans="4:4" ht="14.25" customHeight="1"/>
    <row r="81" ht="14.25" customHeight="1"/>
    <row r="82" ht="14.25" customHeight="1"/>
    <row r="83" ht="14.25" customHeight="1"/>
    <row r="84" ht="14.25" customHeight="1"/>
    <row r="85" ht="14.25" customHeight="1"/>
  </sheetData>
  <pageMargins left="0.22" right="0.13" top="0.69" bottom="0.3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130" zoomScaleNormal="130" workbookViewId="0">
      <selection activeCell="E15" sqref="E15"/>
    </sheetView>
  </sheetViews>
  <sheetFormatPr defaultRowHeight="15" customHeight="1"/>
  <cols>
    <col min="1" max="3" width="9.140625" style="55"/>
    <col min="4" max="4" width="9.7109375" style="55" customWidth="1"/>
    <col min="5" max="5" width="8.42578125" style="55" customWidth="1"/>
    <col min="6" max="6" width="13.7109375" style="55" customWidth="1"/>
    <col min="7" max="7" width="1" style="55" customWidth="1"/>
    <col min="8" max="8" width="14.28515625" style="55" customWidth="1"/>
    <col min="9" max="9" width="1.28515625" style="55" customWidth="1"/>
    <col min="10" max="10" width="14.42578125" style="55" bestFit="1" customWidth="1"/>
    <col min="11" max="16384" width="9.140625" style="55"/>
  </cols>
  <sheetData>
    <row r="1" spans="1:8" ht="15" customHeight="1">
      <c r="A1" s="54"/>
      <c r="B1" s="54"/>
      <c r="C1" s="54"/>
      <c r="D1" s="54"/>
      <c r="E1" s="13"/>
      <c r="F1" s="13"/>
      <c r="G1" s="13"/>
      <c r="H1" s="13"/>
    </row>
    <row r="2" spans="1:8" ht="15" customHeight="1">
      <c r="A2" s="56" t="s">
        <v>28</v>
      </c>
      <c r="B2" s="54"/>
      <c r="C2" s="54"/>
      <c r="D2" s="54"/>
      <c r="E2" s="13"/>
      <c r="F2" s="13"/>
      <c r="G2" s="13"/>
      <c r="H2" s="13"/>
    </row>
    <row r="3" spans="1:8" ht="15" customHeight="1">
      <c r="A3" s="56" t="s">
        <v>29</v>
      </c>
      <c r="B3" s="54"/>
      <c r="C3" s="54"/>
      <c r="D3" s="54"/>
      <c r="E3" s="13"/>
      <c r="F3" s="13"/>
      <c r="G3" s="13"/>
      <c r="H3" s="13"/>
    </row>
    <row r="4" spans="1:8" ht="15" customHeight="1">
      <c r="A4" s="57"/>
      <c r="B4" s="54"/>
      <c r="C4" s="54"/>
      <c r="D4" s="54"/>
      <c r="E4" s="13"/>
      <c r="F4" s="13"/>
      <c r="G4" s="13"/>
      <c r="H4" s="13"/>
    </row>
    <row r="5" spans="1:8" ht="15" customHeight="1">
      <c r="A5" s="338" t="s">
        <v>61</v>
      </c>
      <c r="B5" s="54"/>
      <c r="C5" s="54"/>
      <c r="D5" s="54"/>
      <c r="E5" s="13"/>
      <c r="F5" s="13"/>
      <c r="G5" s="13"/>
      <c r="H5" s="13"/>
    </row>
    <row r="6" spans="1:8" ht="15" customHeight="1">
      <c r="A6" s="338" t="s">
        <v>213</v>
      </c>
      <c r="B6" s="54"/>
      <c r="C6" s="54"/>
      <c r="D6" s="54"/>
      <c r="E6" s="13"/>
      <c r="F6" s="13"/>
      <c r="G6" s="13"/>
      <c r="H6" s="13"/>
    </row>
    <row r="7" spans="1:8" ht="15" customHeight="1">
      <c r="A7" s="13"/>
      <c r="B7" s="13"/>
      <c r="C7" s="13"/>
      <c r="D7" s="13"/>
      <c r="E7" s="58"/>
      <c r="F7" s="29" t="s">
        <v>214</v>
      </c>
      <c r="G7" s="58"/>
      <c r="H7" s="29" t="s">
        <v>85</v>
      </c>
    </row>
    <row r="8" spans="1:8" ht="15" customHeight="1">
      <c r="A8" s="13"/>
      <c r="B8" s="13"/>
      <c r="C8" s="13"/>
      <c r="D8" s="13"/>
      <c r="E8" s="58"/>
      <c r="F8" s="29" t="s">
        <v>49</v>
      </c>
      <c r="G8" s="58"/>
      <c r="H8" s="29" t="s">
        <v>49</v>
      </c>
    </row>
    <row r="9" spans="1:8" ht="15" customHeight="1">
      <c r="A9" s="13"/>
      <c r="B9" s="13"/>
      <c r="C9" s="13"/>
      <c r="D9" s="13"/>
      <c r="E9" s="58"/>
      <c r="F9" s="29" t="s">
        <v>212</v>
      </c>
      <c r="G9" s="58"/>
      <c r="H9" s="29" t="s">
        <v>50</v>
      </c>
    </row>
    <row r="10" spans="1:8" ht="15" customHeight="1">
      <c r="A10" s="13"/>
      <c r="B10" s="13"/>
      <c r="C10" s="13"/>
      <c r="D10" s="13"/>
      <c r="E10" s="173"/>
      <c r="F10" s="173" t="s">
        <v>0</v>
      </c>
      <c r="G10" s="173"/>
      <c r="H10" s="173" t="s">
        <v>0</v>
      </c>
    </row>
    <row r="11" spans="1:8" ht="15" customHeight="1">
      <c r="A11" s="13"/>
      <c r="B11" s="13"/>
      <c r="C11" s="13"/>
      <c r="D11" s="13"/>
      <c r="E11" s="58"/>
      <c r="G11" s="58"/>
    </row>
    <row r="12" spans="1:8" ht="15" customHeight="1">
      <c r="A12" s="60" t="s">
        <v>62</v>
      </c>
      <c r="B12" s="13"/>
      <c r="C12" s="13"/>
      <c r="D12" s="13"/>
      <c r="E12" s="62"/>
      <c r="F12" s="62"/>
      <c r="G12" s="62"/>
      <c r="H12" s="62"/>
    </row>
    <row r="13" spans="1:8" ht="15" customHeight="1">
      <c r="A13" s="60" t="s">
        <v>94</v>
      </c>
      <c r="B13" s="13"/>
      <c r="C13" s="13"/>
      <c r="D13" s="13"/>
      <c r="E13" s="62"/>
      <c r="F13" s="62"/>
      <c r="G13" s="62"/>
      <c r="H13" s="62"/>
    </row>
    <row r="14" spans="1:8" ht="15" customHeight="1">
      <c r="A14" s="13" t="s">
        <v>87</v>
      </c>
      <c r="B14" s="13"/>
      <c r="C14" s="13"/>
      <c r="D14" s="13"/>
      <c r="E14" s="61"/>
      <c r="F14" s="61">
        <f>'I &amp; E.'!E11</f>
        <v>43413656.399999999</v>
      </c>
      <c r="G14" s="62"/>
      <c r="H14" s="62">
        <v>81163852</v>
      </c>
    </row>
    <row r="15" spans="1:8" ht="15" customHeight="1">
      <c r="A15" s="13" t="s">
        <v>65</v>
      </c>
      <c r="B15" s="13"/>
      <c r="C15" s="13"/>
      <c r="D15" s="13"/>
      <c r="E15" s="61"/>
      <c r="F15" s="61">
        <f>'I &amp; E.'!E15</f>
        <v>38508150</v>
      </c>
      <c r="G15" s="62"/>
      <c r="H15" s="62">
        <v>81634631</v>
      </c>
    </row>
    <row r="16" spans="1:8" ht="15" customHeight="1">
      <c r="A16" s="13" t="s">
        <v>63</v>
      </c>
      <c r="B16" s="13"/>
      <c r="C16" s="13"/>
      <c r="D16" s="13"/>
      <c r="E16" s="61"/>
      <c r="F16" s="63">
        <f>'I &amp; E.'!E19</f>
        <v>179704700</v>
      </c>
      <c r="G16" s="64"/>
      <c r="H16" s="64">
        <v>163269157</v>
      </c>
    </row>
    <row r="17" spans="1:8" ht="15" customHeight="1">
      <c r="A17" s="13"/>
      <c r="B17" s="13"/>
      <c r="C17" s="13"/>
      <c r="D17" s="13"/>
      <c r="E17" s="61"/>
      <c r="F17" s="61"/>
      <c r="G17" s="62"/>
      <c r="H17" s="61">
        <f>SUM(H14:H16)</f>
        <v>326067640</v>
      </c>
    </row>
    <row r="18" spans="1:8" ht="15" customHeight="1">
      <c r="A18" s="13"/>
      <c r="B18" s="13"/>
      <c r="C18" s="13"/>
      <c r="D18" s="13"/>
      <c r="E18" s="63"/>
      <c r="F18" s="63"/>
      <c r="G18" s="64"/>
      <c r="H18" s="63"/>
    </row>
    <row r="19" spans="1:8" ht="15" customHeight="1">
      <c r="A19" s="13" t="s">
        <v>26</v>
      </c>
      <c r="B19" s="13"/>
      <c r="C19" s="13"/>
      <c r="D19" s="13"/>
      <c r="E19" s="63"/>
      <c r="F19" s="63">
        <v>108548006</v>
      </c>
      <c r="G19" s="64"/>
      <c r="H19" s="63">
        <v>49976500</v>
      </c>
    </row>
    <row r="20" spans="1:8" ht="15" customHeight="1">
      <c r="A20" s="13"/>
      <c r="B20" s="13"/>
      <c r="C20" s="13"/>
      <c r="D20" s="13"/>
      <c r="E20" s="62"/>
      <c r="F20" s="61"/>
      <c r="G20" s="13"/>
      <c r="H20" s="61"/>
    </row>
    <row r="21" spans="1:8" ht="15" customHeight="1">
      <c r="A21" s="60" t="s">
        <v>95</v>
      </c>
      <c r="B21" s="13"/>
      <c r="C21" s="13"/>
      <c r="D21" s="13"/>
      <c r="E21" s="62"/>
      <c r="F21" s="61">
        <f>F14+F15+F16+F19</f>
        <v>370174512.39999998</v>
      </c>
      <c r="G21" s="62"/>
      <c r="H21" s="62">
        <f>H17+H19</f>
        <v>376044140</v>
      </c>
    </row>
    <row r="22" spans="1:8" ht="15" customHeight="1">
      <c r="A22" s="13"/>
      <c r="B22" s="13"/>
      <c r="C22" s="13"/>
      <c r="D22" s="13"/>
      <c r="E22" s="62"/>
      <c r="F22" s="61"/>
      <c r="G22" s="62"/>
      <c r="H22" s="62"/>
    </row>
    <row r="23" spans="1:8" ht="15" customHeight="1">
      <c r="A23" s="13" t="s">
        <v>66</v>
      </c>
      <c r="B23" s="13"/>
      <c r="C23" s="13"/>
      <c r="D23" s="13"/>
      <c r="E23" s="62"/>
      <c r="F23" s="323">
        <f>-'I &amp; E.'!E31</f>
        <v>-10126000</v>
      </c>
      <c r="G23" s="323"/>
      <c r="H23" s="324">
        <f>-34531150</f>
        <v>-34531150</v>
      </c>
    </row>
    <row r="24" spans="1:8" ht="15" customHeight="1">
      <c r="A24" s="13" t="s">
        <v>67</v>
      </c>
      <c r="B24" s="13"/>
      <c r="C24" s="13"/>
      <c r="D24" s="13"/>
      <c r="E24" s="62"/>
      <c r="F24" s="323">
        <f>-'I &amp; E.'!E34</f>
        <v>-1950000</v>
      </c>
      <c r="G24" s="323"/>
      <c r="H24" s="324">
        <f>-131260500</f>
        <v>-131260500</v>
      </c>
    </row>
    <row r="25" spans="1:8" ht="15" customHeight="1">
      <c r="A25" s="13" t="s">
        <v>5</v>
      </c>
      <c r="B25" s="13"/>
      <c r="C25" s="13"/>
      <c r="D25" s="13"/>
      <c r="E25" s="62"/>
      <c r="F25" s="323">
        <f>-'I &amp; E.'!E37</f>
        <v>-73395217</v>
      </c>
      <c r="G25" s="323"/>
      <c r="H25" s="324">
        <f>-60804401</f>
        <v>-60804401</v>
      </c>
    </row>
    <row r="26" spans="1:8" ht="15" customHeight="1">
      <c r="A26" s="13" t="s">
        <v>6</v>
      </c>
      <c r="B26" s="13"/>
      <c r="C26" s="13"/>
      <c r="D26" s="13"/>
      <c r="E26" s="62"/>
      <c r="F26" s="323">
        <f>-'I &amp; E.'!E41</f>
        <v>-122095704</v>
      </c>
      <c r="G26" s="323"/>
      <c r="H26" s="324">
        <f>-104129550</f>
        <v>-104129550</v>
      </c>
    </row>
    <row r="27" spans="1:8" ht="15" customHeight="1">
      <c r="A27" s="13" t="s">
        <v>57</v>
      </c>
      <c r="B27" s="13"/>
      <c r="C27" s="13"/>
      <c r="D27" s="13"/>
      <c r="E27" s="62"/>
      <c r="F27" s="323">
        <f>-'I &amp; E.'!E44</f>
        <v>-18068700</v>
      </c>
      <c r="G27" s="323"/>
      <c r="H27" s="324">
        <f>-9314400</f>
        <v>-9314400</v>
      </c>
    </row>
    <row r="28" spans="1:8" ht="15" customHeight="1">
      <c r="A28" s="13" t="s">
        <v>86</v>
      </c>
      <c r="B28" s="13"/>
      <c r="C28" s="13"/>
      <c r="D28" s="13"/>
      <c r="E28" s="62"/>
      <c r="F28" s="323">
        <f>-'I &amp; E.'!E47</f>
        <v>-9440500</v>
      </c>
      <c r="G28" s="323"/>
      <c r="H28" s="324">
        <f>-24323700</f>
        <v>-24323700</v>
      </c>
    </row>
    <row r="29" spans="1:8" ht="15" customHeight="1">
      <c r="A29" s="13" t="s">
        <v>46</v>
      </c>
      <c r="B29" s="13"/>
      <c r="C29" s="13"/>
      <c r="D29" s="13"/>
      <c r="E29" s="62"/>
      <c r="F29" s="323">
        <f>-'I &amp; E.'!E50</f>
        <v>-647667.43999999994</v>
      </c>
      <c r="G29" s="323"/>
      <c r="H29" s="324">
        <f>-428460</f>
        <v>-428460</v>
      </c>
    </row>
    <row r="30" spans="1:8" ht="15" customHeight="1">
      <c r="A30" s="13"/>
      <c r="B30" s="13"/>
      <c r="C30" s="13"/>
      <c r="D30" s="13"/>
      <c r="E30" s="62"/>
      <c r="F30" s="323"/>
      <c r="G30" s="323"/>
      <c r="H30" s="324"/>
    </row>
    <row r="31" spans="1:8" ht="15" customHeight="1">
      <c r="A31" s="60" t="s">
        <v>96</v>
      </c>
      <c r="B31" s="13"/>
      <c r="C31" s="13"/>
      <c r="D31" s="13"/>
      <c r="E31" s="62"/>
      <c r="F31" s="63">
        <f>F21+F23+F24+F25+F26+F27+F28+F29</f>
        <v>134450723.95999998</v>
      </c>
      <c r="G31" s="64"/>
      <c r="H31" s="63">
        <f>H21+H23+H24+H25+H26+H27+H28+H29</f>
        <v>11251979</v>
      </c>
    </row>
    <row r="32" spans="1:8" ht="15" customHeight="1">
      <c r="A32" s="13"/>
      <c r="B32" s="13"/>
      <c r="C32" s="13"/>
      <c r="D32" s="13"/>
      <c r="E32" s="61"/>
      <c r="F32" s="61"/>
      <c r="G32" s="13"/>
      <c r="H32" s="62"/>
    </row>
    <row r="33" spans="1:10" ht="15" customHeight="1">
      <c r="A33" s="60" t="s">
        <v>97</v>
      </c>
      <c r="B33" s="13"/>
      <c r="C33" s="13"/>
      <c r="D33" s="13"/>
      <c r="E33" s="64"/>
      <c r="F33" s="63"/>
      <c r="G33" s="63"/>
      <c r="H33" s="63"/>
    </row>
    <row r="34" spans="1:10" ht="15" customHeight="1">
      <c r="A34" s="13" t="s">
        <v>98</v>
      </c>
      <c r="B34" s="13"/>
      <c r="C34" s="13"/>
      <c r="D34" s="13"/>
      <c r="E34" s="62"/>
      <c r="F34" s="323">
        <f>-'I &amp; E.'!E29</f>
        <v>-193424147</v>
      </c>
      <c r="G34" s="61"/>
      <c r="H34" s="324">
        <f>-242401399</f>
        <v>-242401399</v>
      </c>
    </row>
    <row r="35" spans="1:10" ht="15" customHeight="1">
      <c r="A35" s="13"/>
      <c r="B35" s="13"/>
      <c r="C35" s="13"/>
      <c r="D35" s="13"/>
      <c r="E35" s="62"/>
      <c r="F35" s="63"/>
      <c r="G35" s="62"/>
      <c r="H35" s="63"/>
    </row>
    <row r="36" spans="1:10" ht="15" customHeight="1">
      <c r="A36" s="60" t="s">
        <v>64</v>
      </c>
      <c r="B36" s="13"/>
      <c r="C36" s="13"/>
      <c r="D36" s="13"/>
      <c r="E36" s="62"/>
      <c r="F36" s="65">
        <f>F31+F34</f>
        <v>-58973423.040000021</v>
      </c>
      <c r="G36" s="62"/>
      <c r="H36" s="325">
        <f>H31+H34</f>
        <v>-231149420</v>
      </c>
      <c r="J36" s="66"/>
    </row>
    <row r="37" spans="1:10" ht="15" customHeight="1">
      <c r="A37" s="60"/>
      <c r="B37" s="13"/>
      <c r="C37" s="13"/>
      <c r="D37" s="13"/>
      <c r="E37" s="62"/>
      <c r="F37" s="65"/>
      <c r="G37" s="62"/>
      <c r="H37" s="63"/>
      <c r="J37" s="66"/>
    </row>
    <row r="38" spans="1:10" ht="15" customHeight="1">
      <c r="A38" s="60" t="s">
        <v>100</v>
      </c>
      <c r="B38" s="13"/>
      <c r="C38" s="13"/>
      <c r="D38" s="13"/>
      <c r="E38" s="62"/>
      <c r="F38" s="65"/>
      <c r="G38" s="62"/>
      <c r="H38" s="63"/>
      <c r="J38" s="66"/>
    </row>
    <row r="39" spans="1:10" ht="15" customHeight="1">
      <c r="A39" s="60" t="s">
        <v>99</v>
      </c>
      <c r="B39" s="13"/>
      <c r="C39" s="13"/>
      <c r="D39" s="13"/>
      <c r="E39" s="62"/>
      <c r="F39" s="65">
        <v>214620270</v>
      </c>
      <c r="G39" s="62"/>
      <c r="H39" s="63">
        <v>445769690</v>
      </c>
      <c r="J39" s="66"/>
    </row>
    <row r="40" spans="1:10" ht="15" customHeight="1">
      <c r="A40" s="13"/>
      <c r="B40" s="13"/>
      <c r="C40" s="13"/>
      <c r="D40" s="13"/>
      <c r="E40" s="62"/>
      <c r="F40" s="63"/>
      <c r="G40" s="62"/>
      <c r="H40" s="63"/>
    </row>
    <row r="41" spans="1:10" ht="15" customHeight="1">
      <c r="A41" s="60" t="s">
        <v>100</v>
      </c>
      <c r="B41" s="13"/>
      <c r="C41" s="13"/>
      <c r="D41" s="13"/>
      <c r="E41" s="62"/>
      <c r="F41" s="63"/>
      <c r="G41" s="62"/>
      <c r="H41" s="63"/>
    </row>
    <row r="42" spans="1:10" ht="15" customHeight="1">
      <c r="A42" s="60" t="s">
        <v>101</v>
      </c>
      <c r="B42" s="13"/>
      <c r="C42" s="13"/>
      <c r="D42" s="13"/>
      <c r="E42" s="62"/>
      <c r="F42" s="63">
        <f>F36+F39</f>
        <v>155646846.95999998</v>
      </c>
      <c r="G42" s="62"/>
      <c r="H42" s="63">
        <v>214620270</v>
      </c>
    </row>
    <row r="43" spans="1:10" ht="15" customHeight="1">
      <c r="A43" s="60"/>
      <c r="B43" s="13"/>
      <c r="C43" s="13"/>
      <c r="D43" s="13"/>
      <c r="E43" s="62"/>
      <c r="F43" s="63"/>
      <c r="G43" s="62"/>
      <c r="H43" s="63"/>
    </row>
    <row r="44" spans="1:10" ht="15" customHeight="1">
      <c r="A44" s="60" t="s">
        <v>71</v>
      </c>
      <c r="B44" s="13"/>
      <c r="C44" s="13"/>
      <c r="D44" s="13"/>
      <c r="E44" s="62"/>
      <c r="F44" s="61"/>
      <c r="G44" s="62"/>
      <c r="H44" s="62"/>
    </row>
    <row r="45" spans="1:10" ht="15" customHeight="1">
      <c r="A45" s="13" t="s">
        <v>69</v>
      </c>
      <c r="B45" s="13"/>
      <c r="C45" s="13"/>
      <c r="D45" s="13"/>
      <c r="E45" s="62"/>
      <c r="F45" s="61">
        <f>'notes 2-5'!D11</f>
        <v>47593444.560000002</v>
      </c>
      <c r="G45" s="62"/>
      <c r="H45" s="62">
        <v>80112530</v>
      </c>
    </row>
    <row r="46" spans="1:10" ht="15" customHeight="1">
      <c r="A46" s="13" t="s">
        <v>70</v>
      </c>
      <c r="B46" s="13"/>
      <c r="C46" s="13"/>
      <c r="D46" s="13"/>
      <c r="E46" s="62"/>
      <c r="F46" s="63">
        <f>'notes 2-5'!D12</f>
        <v>108053402.39999998</v>
      </c>
      <c r="G46" s="62"/>
      <c r="H46" s="64">
        <v>134507740</v>
      </c>
    </row>
    <row r="47" spans="1:10" ht="15" customHeight="1">
      <c r="B47" s="13"/>
      <c r="C47" s="13"/>
      <c r="D47" s="13"/>
      <c r="E47" s="62"/>
      <c r="F47" s="63">
        <f>SUM(F45:F46)</f>
        <v>155646846.95999998</v>
      </c>
      <c r="G47" s="62"/>
      <c r="H47" s="63">
        <f>SUM(H45:H46)</f>
        <v>214620270</v>
      </c>
    </row>
    <row r="48" spans="1:10" ht="15" customHeight="1">
      <c r="E48" s="67"/>
      <c r="F48" s="68"/>
      <c r="G48" s="67"/>
      <c r="H48" s="68"/>
    </row>
    <row r="49" spans="5:8" ht="15" customHeight="1">
      <c r="E49" s="67"/>
      <c r="F49" s="68"/>
      <c r="G49" s="67"/>
      <c r="H49" s="68"/>
    </row>
    <row r="50" spans="5:8" ht="15" customHeight="1">
      <c r="E50" s="314">
        <v>14</v>
      </c>
      <c r="F50" s="68"/>
      <c r="G50" s="67"/>
      <c r="H50" s="68"/>
    </row>
    <row r="51" spans="5:8" ht="15" customHeight="1">
      <c r="F51" s="69"/>
    </row>
    <row r="52" spans="5:8" ht="15" customHeight="1">
      <c r="F52" s="69"/>
    </row>
    <row r="63" spans="5:8" ht="15" customHeight="1">
      <c r="E63" s="70"/>
      <c r="F63" s="70"/>
    </row>
    <row r="65" spans="5:8" ht="15" customHeight="1">
      <c r="G65" s="71"/>
    </row>
    <row r="68" spans="5:8" ht="15" customHeight="1">
      <c r="E68" s="67"/>
      <c r="F68" s="67"/>
      <c r="G68" s="67"/>
      <c r="H68" s="67"/>
    </row>
    <row r="69" spans="5:8" ht="15" customHeight="1">
      <c r="E69" s="67"/>
      <c r="F69" s="67"/>
      <c r="G69" s="67"/>
      <c r="H69" s="67"/>
    </row>
  </sheetData>
  <pageMargins left="0.7" right="0.4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4"/>
  <sheetViews>
    <sheetView topLeftCell="A42" zoomScale="115" zoomScaleNormal="115" workbookViewId="0">
      <selection activeCell="C57" sqref="C57"/>
    </sheetView>
  </sheetViews>
  <sheetFormatPr defaultRowHeight="12" customHeight="1"/>
  <cols>
    <col min="1" max="1" width="6.5703125" style="100" customWidth="1"/>
    <col min="2" max="2" width="25.140625" style="74" customWidth="1"/>
    <col min="3" max="3" width="14.140625" style="74" customWidth="1"/>
    <col min="4" max="4" width="13.5703125" style="74" customWidth="1"/>
    <col min="5" max="5" width="13.42578125" style="74" customWidth="1"/>
    <col min="6" max="6" width="14.28515625" style="74" customWidth="1"/>
    <col min="7" max="7" width="14.42578125" style="74" customWidth="1"/>
    <col min="8" max="8" width="13.85546875" style="74" customWidth="1"/>
    <col min="9" max="9" width="2" style="74" customWidth="1"/>
    <col min="10" max="10" width="13.5703125" style="74" customWidth="1"/>
    <col min="11" max="11" width="14.140625" style="74" customWidth="1"/>
    <col min="12" max="16384" width="9.140625" style="74"/>
  </cols>
  <sheetData>
    <row r="2" spans="1:11" ht="14.25" customHeight="1">
      <c r="A2" s="72"/>
      <c r="B2" s="73" t="s">
        <v>28</v>
      </c>
    </row>
    <row r="3" spans="1:11" ht="12" customHeight="1">
      <c r="A3" s="72"/>
      <c r="B3" s="73" t="s">
        <v>29</v>
      </c>
    </row>
    <row r="4" spans="1:11" ht="12" customHeight="1">
      <c r="A4" s="72"/>
      <c r="B4" s="75"/>
    </row>
    <row r="5" spans="1:11" ht="12" customHeight="1">
      <c r="A5" s="76"/>
      <c r="B5" s="333" t="s">
        <v>77</v>
      </c>
    </row>
    <row r="6" spans="1:11" ht="15" customHeight="1">
      <c r="A6" s="76"/>
      <c r="B6" s="339" t="s">
        <v>213</v>
      </c>
      <c r="J6" s="54"/>
      <c r="K6" s="54"/>
    </row>
    <row r="7" spans="1:11" ht="12" customHeight="1">
      <c r="A7" s="76"/>
      <c r="B7" s="73"/>
      <c r="D7" s="29"/>
      <c r="E7" s="29" t="s">
        <v>214</v>
      </c>
      <c r="F7" s="29" t="s">
        <v>85</v>
      </c>
      <c r="G7" s="29"/>
      <c r="I7" s="54"/>
      <c r="J7" s="78"/>
      <c r="K7" s="78"/>
    </row>
    <row r="8" spans="1:11" ht="12" customHeight="1">
      <c r="A8" s="76"/>
      <c r="B8" s="73"/>
      <c r="C8" s="77"/>
      <c r="D8" s="29"/>
      <c r="E8" s="29" t="s">
        <v>49</v>
      </c>
      <c r="F8" s="29" t="s">
        <v>49</v>
      </c>
      <c r="G8" s="29"/>
      <c r="H8" s="77"/>
      <c r="I8" s="54"/>
      <c r="J8" s="78"/>
      <c r="K8" s="78"/>
    </row>
    <row r="9" spans="1:11" ht="12" customHeight="1">
      <c r="A9" s="76"/>
      <c r="B9" s="73"/>
      <c r="C9" s="77"/>
      <c r="D9" s="29"/>
      <c r="E9" s="29" t="s">
        <v>212</v>
      </c>
      <c r="F9" s="29" t="s">
        <v>50</v>
      </c>
      <c r="G9" s="29"/>
      <c r="H9" s="77"/>
      <c r="I9" s="54"/>
      <c r="J9" s="54"/>
      <c r="K9" s="54"/>
    </row>
    <row r="10" spans="1:11" ht="12" customHeight="1">
      <c r="A10" s="72"/>
      <c r="B10" s="79"/>
      <c r="C10" s="77"/>
      <c r="D10" s="77"/>
      <c r="E10" s="77"/>
      <c r="F10" s="77"/>
      <c r="G10" s="77"/>
      <c r="H10" s="77"/>
      <c r="I10" s="54"/>
      <c r="J10" s="54"/>
      <c r="K10" s="54"/>
    </row>
    <row r="11" spans="1:11" ht="12" customHeight="1">
      <c r="A11" s="72"/>
      <c r="B11" s="79"/>
      <c r="C11" s="77"/>
      <c r="D11" s="174"/>
      <c r="E11" s="174" t="s">
        <v>0</v>
      </c>
      <c r="F11" s="174" t="s">
        <v>0</v>
      </c>
      <c r="G11" s="174"/>
      <c r="H11" s="77"/>
      <c r="I11" s="54"/>
      <c r="J11" s="54"/>
      <c r="K11" s="54"/>
    </row>
    <row r="12" spans="1:11" ht="12" customHeight="1">
      <c r="A12" s="80">
        <v>1</v>
      </c>
      <c r="B12" s="79" t="s">
        <v>40</v>
      </c>
      <c r="C12" s="77"/>
      <c r="D12" s="77"/>
      <c r="E12" s="77"/>
      <c r="F12" s="77"/>
      <c r="G12" s="77"/>
      <c r="H12" s="81"/>
      <c r="I12" s="54"/>
      <c r="J12" s="54"/>
      <c r="K12" s="54"/>
    </row>
    <row r="13" spans="1:11" ht="15.75" customHeight="1">
      <c r="A13" s="80">
        <v>1.1000000000000001</v>
      </c>
      <c r="B13" s="196" t="s">
        <v>103</v>
      </c>
      <c r="C13" s="77"/>
      <c r="D13" s="77"/>
      <c r="E13" s="77"/>
      <c r="F13" s="77"/>
      <c r="G13" s="77"/>
      <c r="H13" s="81"/>
      <c r="I13" s="54"/>
      <c r="J13" s="54"/>
      <c r="K13" s="54"/>
    </row>
    <row r="14" spans="1:11" ht="12" customHeight="1">
      <c r="A14" s="80"/>
      <c r="B14" s="79"/>
      <c r="C14" s="77"/>
      <c r="D14" s="77"/>
      <c r="E14" s="77"/>
      <c r="F14" s="77"/>
      <c r="G14" s="77"/>
      <c r="H14" s="81"/>
      <c r="I14" s="54"/>
      <c r="J14" s="54"/>
      <c r="K14" s="54"/>
    </row>
    <row r="15" spans="1:11" ht="12" customHeight="1">
      <c r="A15" s="80"/>
      <c r="B15" s="83" t="s">
        <v>132</v>
      </c>
      <c r="C15" s="77"/>
      <c r="D15" s="77"/>
      <c r="E15" s="77">
        <f>TB!K32+TB!K46+TB!K47+TB!K55</f>
        <v>193424147</v>
      </c>
      <c r="F15" s="108">
        <v>242401399</v>
      </c>
      <c r="G15" s="77"/>
      <c r="H15" s="81"/>
      <c r="I15" s="54"/>
      <c r="J15" s="54"/>
      <c r="K15" s="54"/>
    </row>
    <row r="16" spans="1:11" ht="12" customHeight="1">
      <c r="A16" s="80"/>
      <c r="B16" s="79"/>
      <c r="C16" s="77"/>
      <c r="D16" s="77"/>
      <c r="E16" s="77"/>
      <c r="F16" s="108"/>
      <c r="G16" s="77"/>
      <c r="H16" s="81"/>
      <c r="I16" s="54"/>
      <c r="J16" s="54"/>
      <c r="K16" s="54"/>
    </row>
    <row r="17" spans="1:11" ht="12" customHeight="1">
      <c r="A17" s="80"/>
      <c r="B17" s="79"/>
      <c r="C17" s="77"/>
      <c r="D17" s="77"/>
      <c r="E17" s="77"/>
      <c r="F17" s="108"/>
      <c r="G17" s="77"/>
      <c r="H17" s="81"/>
      <c r="I17" s="54"/>
      <c r="J17" s="54"/>
      <c r="K17" s="54"/>
    </row>
    <row r="18" spans="1:11" ht="15.75" customHeight="1">
      <c r="A18" s="80">
        <v>1.2</v>
      </c>
      <c r="B18" s="195" t="s">
        <v>124</v>
      </c>
      <c r="C18" s="77"/>
      <c r="D18" s="77"/>
      <c r="E18" s="77"/>
      <c r="F18" s="108"/>
      <c r="G18" s="77"/>
      <c r="H18" s="81"/>
      <c r="I18" s="54"/>
      <c r="J18" s="54"/>
      <c r="K18" s="54"/>
    </row>
    <row r="19" spans="1:11" ht="12" customHeight="1">
      <c r="A19" s="82" t="s">
        <v>125</v>
      </c>
      <c r="B19" s="83" t="s">
        <v>51</v>
      </c>
      <c r="C19" s="85"/>
      <c r="D19" s="85"/>
      <c r="E19" s="85"/>
      <c r="F19" s="326"/>
      <c r="G19" s="84"/>
      <c r="H19" s="81"/>
      <c r="I19" s="54"/>
      <c r="J19" s="54"/>
      <c r="K19" s="54"/>
    </row>
    <row r="20" spans="1:11" ht="14.25" customHeight="1">
      <c r="A20" s="82"/>
      <c r="B20" s="86" t="s">
        <v>58</v>
      </c>
      <c r="C20" s="87"/>
      <c r="D20" s="88"/>
      <c r="E20" s="74">
        <v>0</v>
      </c>
      <c r="F20" s="89">
        <v>24000000</v>
      </c>
      <c r="G20" s="89"/>
      <c r="H20" s="81"/>
      <c r="I20" s="54"/>
      <c r="J20" s="54"/>
      <c r="K20" s="54"/>
    </row>
    <row r="21" spans="1:11" ht="16.5" customHeight="1">
      <c r="A21" s="82"/>
      <c r="B21" s="86" t="s">
        <v>3</v>
      </c>
      <c r="C21" s="87"/>
      <c r="D21" s="88"/>
      <c r="E21" s="88">
        <f>TB!K27</f>
        <v>190000</v>
      </c>
      <c r="F21" s="89">
        <v>1170000</v>
      </c>
      <c r="G21" s="89"/>
      <c r="H21" s="81"/>
      <c r="I21" s="54"/>
      <c r="J21" s="54"/>
      <c r="K21" s="54"/>
    </row>
    <row r="22" spans="1:11" ht="14.25" customHeight="1">
      <c r="A22" s="82"/>
      <c r="B22" s="86" t="s">
        <v>10</v>
      </c>
      <c r="C22" s="87"/>
      <c r="D22" s="88"/>
      <c r="E22" s="88">
        <f>TB!K28</f>
        <v>3008000</v>
      </c>
      <c r="F22" s="89">
        <v>5355000</v>
      </c>
      <c r="G22" s="89"/>
      <c r="H22" s="81"/>
      <c r="I22" s="54"/>
      <c r="J22" s="54"/>
      <c r="K22" s="54"/>
    </row>
    <row r="23" spans="1:11" ht="12" customHeight="1">
      <c r="A23" s="82"/>
      <c r="B23" s="86" t="s">
        <v>4</v>
      </c>
      <c r="C23" s="87"/>
      <c r="D23" s="87"/>
      <c r="E23" s="88">
        <f>TB!K29</f>
        <v>4600000</v>
      </c>
      <c r="F23" s="327">
        <v>2006150</v>
      </c>
      <c r="G23" s="89"/>
      <c r="H23" s="81"/>
      <c r="I23" s="54"/>
      <c r="J23" s="54"/>
      <c r="K23" s="54"/>
    </row>
    <row r="24" spans="1:11" ht="19.5" customHeight="1">
      <c r="A24" s="82"/>
      <c r="B24" s="86" t="s">
        <v>15</v>
      </c>
      <c r="C24" s="87"/>
      <c r="D24" s="88"/>
      <c r="E24" s="88">
        <f>TB!K30</f>
        <v>1500000</v>
      </c>
      <c r="F24" s="89">
        <v>2000000</v>
      </c>
      <c r="G24" s="90"/>
      <c r="H24" s="81"/>
      <c r="I24" s="54"/>
      <c r="J24" s="54"/>
      <c r="K24" s="54"/>
    </row>
    <row r="25" spans="1:11" ht="19.5" customHeight="1">
      <c r="A25" s="82"/>
      <c r="B25" s="86" t="s">
        <v>177</v>
      </c>
      <c r="C25" s="87"/>
      <c r="D25" s="88"/>
      <c r="E25" s="90">
        <f>TB!K31</f>
        <v>828000</v>
      </c>
      <c r="F25" s="91">
        <v>1.1000000000000001E-6</v>
      </c>
      <c r="G25" s="90"/>
      <c r="H25" s="81"/>
      <c r="I25" s="54"/>
      <c r="J25" s="54"/>
      <c r="K25" s="54"/>
    </row>
    <row r="26" spans="1:11" ht="15" customHeight="1">
      <c r="A26" s="82"/>
      <c r="B26" s="83"/>
      <c r="C26" s="87"/>
      <c r="D26" s="87"/>
      <c r="E26" s="87">
        <f>SUM(E20:E25)</f>
        <v>10126000</v>
      </c>
      <c r="F26" s="327">
        <f>SUM(F19:F25)</f>
        <v>34531150.000001103</v>
      </c>
      <c r="G26" s="90"/>
      <c r="H26" s="81"/>
      <c r="I26" s="54"/>
      <c r="J26" s="54"/>
      <c r="K26" s="54"/>
    </row>
    <row r="27" spans="1:11" ht="15" customHeight="1">
      <c r="A27" s="82" t="s">
        <v>126</v>
      </c>
      <c r="B27" s="83" t="s">
        <v>55</v>
      </c>
      <c r="C27" s="87"/>
      <c r="D27" s="87"/>
      <c r="E27" s="87"/>
      <c r="F27" s="327"/>
      <c r="G27" s="89"/>
      <c r="H27" s="94"/>
      <c r="I27" s="54"/>
      <c r="J27" s="54"/>
      <c r="K27" s="54"/>
    </row>
    <row r="28" spans="1:11" ht="12" customHeight="1">
      <c r="A28" s="82"/>
      <c r="B28" s="95" t="s">
        <v>59</v>
      </c>
      <c r="C28" s="87"/>
      <c r="D28" s="87"/>
      <c r="E28" s="87">
        <f>TB!K34</f>
        <v>0</v>
      </c>
      <c r="F28" s="327">
        <v>114960000</v>
      </c>
      <c r="G28" s="89"/>
      <c r="H28" s="94"/>
      <c r="I28" s="54"/>
      <c r="J28" s="54"/>
      <c r="K28" s="54"/>
    </row>
    <row r="29" spans="1:11" ht="14.25" customHeight="1">
      <c r="A29" s="82"/>
      <c r="B29" s="86" t="s">
        <v>17</v>
      </c>
      <c r="C29" s="87"/>
      <c r="D29" s="88"/>
      <c r="E29" s="88">
        <v>0</v>
      </c>
      <c r="F29" s="89">
        <v>2171000</v>
      </c>
      <c r="G29" s="89"/>
      <c r="H29" s="94"/>
      <c r="I29" s="54"/>
      <c r="J29" s="54"/>
      <c r="K29" s="54"/>
    </row>
    <row r="30" spans="1:11" ht="15" customHeight="1">
      <c r="A30" s="82"/>
      <c r="B30" s="86" t="s">
        <v>20</v>
      </c>
      <c r="C30" s="87"/>
      <c r="D30" s="88"/>
      <c r="E30" s="88">
        <f>TB!K36</f>
        <v>650000</v>
      </c>
      <c r="F30" s="89">
        <v>14129500</v>
      </c>
      <c r="G30" s="91"/>
      <c r="H30" s="94"/>
      <c r="I30" s="54"/>
      <c r="J30" s="54"/>
      <c r="K30" s="54"/>
    </row>
    <row r="31" spans="1:11" ht="15" customHeight="1">
      <c r="A31" s="82"/>
      <c r="B31" s="86" t="s">
        <v>4</v>
      </c>
      <c r="C31" s="87"/>
      <c r="D31" s="88"/>
      <c r="E31" s="90">
        <f>TB!K37</f>
        <v>1300000</v>
      </c>
      <c r="F31" s="91">
        <v>1E-8</v>
      </c>
      <c r="G31" s="91"/>
      <c r="H31" s="94"/>
      <c r="I31" s="54"/>
      <c r="J31" s="54"/>
      <c r="K31" s="54"/>
    </row>
    <row r="32" spans="1:11" ht="16.5" customHeight="1">
      <c r="A32" s="72"/>
      <c r="B32" s="92"/>
      <c r="C32" s="93"/>
      <c r="D32" s="87"/>
      <c r="E32" s="87">
        <f>SUM(E28:E31)</f>
        <v>1950000</v>
      </c>
      <c r="F32" s="328">
        <f>SUM(F28:F31)</f>
        <v>131260500.00000001</v>
      </c>
      <c r="G32" s="90"/>
      <c r="H32" s="94"/>
      <c r="I32" s="54"/>
      <c r="J32" s="54"/>
      <c r="K32" s="54"/>
    </row>
    <row r="33" spans="1:11" ht="13.5" customHeight="1">
      <c r="A33" s="82" t="s">
        <v>127</v>
      </c>
      <c r="B33" s="83" t="s">
        <v>72</v>
      </c>
      <c r="C33" s="87"/>
      <c r="D33" s="87"/>
      <c r="E33" s="87"/>
      <c r="F33" s="327"/>
      <c r="G33" s="89"/>
      <c r="H33" s="94"/>
      <c r="I33" s="54"/>
      <c r="J33" s="54"/>
      <c r="K33" s="54"/>
    </row>
    <row r="34" spans="1:11" ht="14.25" customHeight="1">
      <c r="A34" s="82"/>
      <c r="B34" s="86" t="s">
        <v>7</v>
      </c>
      <c r="C34" s="87"/>
      <c r="D34" s="88"/>
      <c r="E34" s="88">
        <f>TB!K39</f>
        <v>8330000</v>
      </c>
      <c r="F34" s="89">
        <v>3321401</v>
      </c>
      <c r="G34" s="89"/>
      <c r="H34" s="94"/>
      <c r="I34" s="54"/>
      <c r="J34" s="54"/>
      <c r="K34" s="54"/>
    </row>
    <row r="35" spans="1:11" ht="15" customHeight="1">
      <c r="A35" s="82"/>
      <c r="B35" s="86" t="s">
        <v>8</v>
      </c>
      <c r="C35" s="87"/>
      <c r="D35" s="88"/>
      <c r="E35" s="88">
        <f>TB!K40</f>
        <v>0</v>
      </c>
      <c r="F35" s="89">
        <v>2063360</v>
      </c>
      <c r="G35" s="89"/>
      <c r="H35" s="94"/>
      <c r="I35" s="54"/>
      <c r="J35" s="54"/>
      <c r="K35" s="54"/>
    </row>
    <row r="36" spans="1:11" ht="14.25" customHeight="1">
      <c r="A36" s="82"/>
      <c r="B36" s="86" t="s">
        <v>9</v>
      </c>
      <c r="C36" s="87"/>
      <c r="D36" s="88"/>
      <c r="E36" s="88">
        <f>TB!K41</f>
        <v>38977790</v>
      </c>
      <c r="F36" s="89">
        <v>50068520</v>
      </c>
      <c r="G36" s="89"/>
      <c r="H36" s="94"/>
      <c r="I36" s="54"/>
      <c r="J36" s="54"/>
      <c r="K36" s="54"/>
    </row>
    <row r="37" spans="1:11" ht="14.25" customHeight="1">
      <c r="A37" s="82"/>
      <c r="B37" s="86" t="s">
        <v>18</v>
      </c>
      <c r="C37" s="87"/>
      <c r="D37" s="88"/>
      <c r="E37" s="88">
        <f>TB!K42</f>
        <v>19995850</v>
      </c>
      <c r="F37" s="89">
        <v>4631120</v>
      </c>
      <c r="G37" s="89"/>
      <c r="H37" s="94"/>
      <c r="I37" s="54"/>
      <c r="J37" s="54"/>
      <c r="K37" s="54"/>
    </row>
    <row r="38" spans="1:11" ht="18" customHeight="1">
      <c r="A38" s="82"/>
      <c r="B38" s="86" t="s">
        <v>16</v>
      </c>
      <c r="C38" s="87"/>
      <c r="D38" s="88"/>
      <c r="E38" s="88">
        <v>0</v>
      </c>
      <c r="F38" s="89">
        <v>720000</v>
      </c>
      <c r="G38" s="89"/>
      <c r="H38" s="94"/>
      <c r="I38" s="54"/>
      <c r="J38" s="54"/>
      <c r="K38" s="54"/>
    </row>
    <row r="39" spans="1:11" ht="18" customHeight="1">
      <c r="A39" s="82"/>
      <c r="B39" s="86" t="s">
        <v>19</v>
      </c>
      <c r="C39" s="87"/>
      <c r="D39" s="88"/>
      <c r="E39" s="88">
        <f>TB!K45</f>
        <v>1474577</v>
      </c>
      <c r="F39" s="89"/>
      <c r="G39" s="89"/>
      <c r="H39" s="94"/>
      <c r="I39" s="54"/>
      <c r="J39" s="54"/>
      <c r="K39" s="54"/>
    </row>
    <row r="40" spans="1:11" ht="18" customHeight="1">
      <c r="A40" s="82"/>
      <c r="B40" s="252" t="s">
        <v>178</v>
      </c>
      <c r="C40" s="87"/>
      <c r="D40" s="88"/>
      <c r="E40" s="90">
        <f>TB!K44</f>
        <v>4617000</v>
      </c>
      <c r="F40" s="91">
        <v>9.9999999999999995E-8</v>
      </c>
      <c r="G40" s="89"/>
      <c r="H40" s="94"/>
      <c r="I40" s="54"/>
      <c r="J40" s="54"/>
      <c r="K40" s="54"/>
    </row>
    <row r="41" spans="1:11" ht="16.5" customHeight="1">
      <c r="A41" s="72"/>
      <c r="B41" s="92"/>
      <c r="C41" s="93"/>
      <c r="D41" s="87"/>
      <c r="E41" s="87">
        <f>SUM(E34:E40)</f>
        <v>73395217</v>
      </c>
      <c r="F41" s="329">
        <f>SUM(F34:F40)</f>
        <v>60804401.000000097</v>
      </c>
      <c r="G41" s="90"/>
      <c r="H41" s="94"/>
      <c r="I41" s="54"/>
      <c r="J41" s="54"/>
      <c r="K41" s="54"/>
    </row>
    <row r="42" spans="1:11" ht="15" customHeight="1">
      <c r="A42" s="82" t="s">
        <v>128</v>
      </c>
      <c r="B42" s="83" t="s">
        <v>52</v>
      </c>
      <c r="C42" s="87"/>
      <c r="D42" s="87"/>
      <c r="E42" s="87"/>
      <c r="F42" s="327"/>
      <c r="G42" s="89"/>
      <c r="H42" s="94"/>
      <c r="I42" s="54"/>
      <c r="J42" s="54"/>
      <c r="K42" s="54"/>
    </row>
    <row r="43" spans="1:11" ht="15" customHeight="1">
      <c r="A43" s="82"/>
      <c r="B43" s="97" t="s">
        <v>6</v>
      </c>
      <c r="C43" s="87"/>
      <c r="D43" s="88"/>
      <c r="E43" s="88">
        <f>TB!K50</f>
        <v>94247704</v>
      </c>
      <c r="F43" s="89">
        <v>65953500</v>
      </c>
      <c r="G43" s="89"/>
      <c r="H43" s="94"/>
      <c r="I43" s="54"/>
      <c r="J43" s="54"/>
      <c r="K43" s="54"/>
    </row>
    <row r="44" spans="1:11" ht="15" customHeight="1">
      <c r="A44" s="82"/>
      <c r="B44" s="86" t="s">
        <v>4</v>
      </c>
      <c r="C44" s="87"/>
      <c r="D44" s="88"/>
      <c r="E44" s="88">
        <f>TB!K51</f>
        <v>14808000</v>
      </c>
      <c r="F44" s="89">
        <v>4617000</v>
      </c>
      <c r="G44" s="89"/>
      <c r="H44" s="94"/>
      <c r="I44" s="54"/>
      <c r="J44" s="54"/>
      <c r="K44" s="54"/>
    </row>
    <row r="45" spans="1:11" ht="15" customHeight="1">
      <c r="A45" s="82"/>
      <c r="B45" s="86" t="s">
        <v>12</v>
      </c>
      <c r="C45" s="87"/>
      <c r="D45" s="88"/>
      <c r="E45" s="88">
        <f>TB!K52</f>
        <v>8475000</v>
      </c>
      <c r="F45" s="89">
        <v>27406050</v>
      </c>
      <c r="G45" s="89"/>
      <c r="H45" s="94"/>
      <c r="I45" s="54"/>
      <c r="J45" s="54"/>
      <c r="K45" s="54"/>
    </row>
    <row r="46" spans="1:11" ht="12" customHeight="1">
      <c r="A46" s="82"/>
      <c r="B46" s="86" t="s">
        <v>13</v>
      </c>
      <c r="C46" s="87"/>
      <c r="D46" s="87"/>
      <c r="E46" s="88">
        <f>TB!K53</f>
        <v>1740000</v>
      </c>
      <c r="F46" s="89">
        <v>1080000</v>
      </c>
      <c r="G46" s="89"/>
      <c r="H46" s="94"/>
      <c r="I46" s="54"/>
      <c r="J46" s="54"/>
      <c r="K46" s="54"/>
    </row>
    <row r="47" spans="1:11" ht="14.25" customHeight="1">
      <c r="A47" s="82"/>
      <c r="B47" s="86" t="s">
        <v>14</v>
      </c>
      <c r="C47" s="87"/>
      <c r="D47" s="87"/>
      <c r="E47" s="90">
        <f>TB!K54</f>
        <v>2825000</v>
      </c>
      <c r="F47" s="91">
        <v>5073000</v>
      </c>
      <c r="G47" s="89"/>
      <c r="H47" s="94"/>
      <c r="I47" s="54"/>
      <c r="J47" s="54"/>
      <c r="K47" s="54"/>
    </row>
    <row r="48" spans="1:11" ht="16.5" customHeight="1">
      <c r="A48" s="72"/>
      <c r="B48" s="92"/>
      <c r="C48" s="93"/>
      <c r="D48" s="87"/>
      <c r="E48" s="87">
        <f>SUM(E43:E47)</f>
        <v>122095704</v>
      </c>
      <c r="F48" s="328">
        <f>SUM(F43:F47)</f>
        <v>104129550</v>
      </c>
      <c r="G48" s="90"/>
      <c r="H48" s="94"/>
      <c r="I48" s="54"/>
      <c r="J48" s="54"/>
      <c r="K48" s="54"/>
    </row>
    <row r="49" spans="1:11" ht="14.25" customHeight="1">
      <c r="A49" s="82" t="s">
        <v>129</v>
      </c>
      <c r="B49" s="83" t="s">
        <v>56</v>
      </c>
      <c r="C49" s="87"/>
      <c r="D49" s="87"/>
      <c r="E49" s="87"/>
      <c r="F49" s="327"/>
      <c r="G49" s="89"/>
      <c r="H49" s="94"/>
      <c r="I49" s="54"/>
      <c r="J49" s="54"/>
      <c r="K49" s="54"/>
    </row>
    <row r="50" spans="1:11" ht="12" customHeight="1">
      <c r="A50" s="72"/>
      <c r="B50" s="86" t="s">
        <v>11</v>
      </c>
      <c r="C50" s="93"/>
      <c r="D50" s="77"/>
      <c r="E50" s="77">
        <f>TB!K59</f>
        <v>900000</v>
      </c>
      <c r="F50" s="108">
        <v>1200000</v>
      </c>
      <c r="G50" s="89"/>
      <c r="H50" s="94"/>
      <c r="I50" s="54"/>
      <c r="J50" s="54"/>
      <c r="K50" s="54"/>
    </row>
    <row r="51" spans="1:11" ht="12" customHeight="1">
      <c r="A51" s="72"/>
      <c r="B51" s="86" t="s">
        <v>2</v>
      </c>
      <c r="C51" s="93"/>
      <c r="D51" s="77"/>
      <c r="E51" s="77">
        <v>0</v>
      </c>
      <c r="F51" s="108">
        <v>8114400</v>
      </c>
      <c r="G51" s="89"/>
      <c r="H51" s="94"/>
      <c r="I51" s="54"/>
      <c r="J51" s="54"/>
      <c r="K51" s="54"/>
    </row>
    <row r="52" spans="1:11" ht="12" customHeight="1">
      <c r="A52" s="72"/>
      <c r="B52" s="86" t="s">
        <v>254</v>
      </c>
      <c r="C52" s="93"/>
      <c r="D52" s="77"/>
      <c r="E52" s="77">
        <f>TB!K58</f>
        <v>15038700</v>
      </c>
      <c r="F52" s="108">
        <v>0</v>
      </c>
      <c r="G52" s="89"/>
      <c r="H52" s="94"/>
      <c r="I52" s="54"/>
      <c r="J52" s="54"/>
      <c r="K52" s="54"/>
    </row>
    <row r="53" spans="1:11" ht="12" customHeight="1">
      <c r="A53" s="72"/>
      <c r="B53" s="86" t="s">
        <v>180</v>
      </c>
      <c r="C53" s="93"/>
      <c r="D53" s="77"/>
      <c r="E53" s="96">
        <f>TB!K60</f>
        <v>2130000</v>
      </c>
      <c r="F53" s="108">
        <v>1.1E-4</v>
      </c>
      <c r="G53" s="89"/>
      <c r="H53" s="94"/>
      <c r="I53" s="54"/>
      <c r="J53" s="54"/>
      <c r="K53" s="54"/>
    </row>
    <row r="54" spans="1:11" ht="18" customHeight="1">
      <c r="A54" s="72"/>
      <c r="B54" s="92"/>
      <c r="C54" s="93"/>
      <c r="D54" s="96"/>
      <c r="E54" s="96">
        <f>SUM(E50:E53)</f>
        <v>18068700</v>
      </c>
      <c r="F54" s="329">
        <f>SUM(F50:F53)</f>
        <v>9314400.0001100004</v>
      </c>
      <c r="G54" s="90"/>
      <c r="H54" s="94"/>
      <c r="I54" s="54"/>
      <c r="J54" s="54"/>
      <c r="K54" s="54"/>
    </row>
    <row r="55" spans="1:11" ht="15" customHeight="1">
      <c r="A55" s="82" t="s">
        <v>130</v>
      </c>
      <c r="B55" s="83" t="s">
        <v>88</v>
      </c>
      <c r="C55" s="87"/>
      <c r="D55" s="87"/>
      <c r="E55" s="87"/>
      <c r="F55" s="327"/>
      <c r="G55" s="89"/>
      <c r="H55" s="94"/>
      <c r="I55" s="54"/>
      <c r="J55" s="54"/>
      <c r="K55" s="54"/>
    </row>
    <row r="56" spans="1:11" ht="15.75" customHeight="1">
      <c r="A56" s="82"/>
      <c r="B56" s="79"/>
      <c r="C56" s="87"/>
      <c r="D56" s="87"/>
      <c r="E56" s="87">
        <f>TB!K61</f>
        <v>9440500</v>
      </c>
      <c r="F56" s="327">
        <v>24323700</v>
      </c>
      <c r="G56" s="90"/>
      <c r="H56" s="94"/>
      <c r="I56" s="54"/>
      <c r="J56" s="54"/>
      <c r="K56" s="54"/>
    </row>
    <row r="57" spans="1:11" ht="12" customHeight="1">
      <c r="A57" s="72"/>
      <c r="B57" s="92"/>
      <c r="C57" s="87"/>
      <c r="D57" s="87"/>
      <c r="E57" s="87"/>
      <c r="F57" s="327"/>
      <c r="G57" s="89"/>
      <c r="H57" s="94"/>
      <c r="I57" s="54"/>
      <c r="J57" s="54"/>
      <c r="K57" s="54"/>
    </row>
    <row r="58" spans="1:11" ht="12" customHeight="1">
      <c r="A58" s="82" t="s">
        <v>131</v>
      </c>
      <c r="B58" s="79" t="s">
        <v>53</v>
      </c>
      <c r="C58" s="87"/>
      <c r="D58" s="87"/>
      <c r="E58" s="87"/>
      <c r="F58" s="327"/>
      <c r="G58" s="89"/>
      <c r="H58" s="94"/>
      <c r="I58" s="54"/>
      <c r="J58" s="54"/>
      <c r="K58" s="54"/>
    </row>
    <row r="59" spans="1:11" ht="15.75" customHeight="1">
      <c r="A59" s="72"/>
      <c r="B59" s="98" t="s">
        <v>89</v>
      </c>
      <c r="C59" s="87"/>
      <c r="D59" s="87"/>
      <c r="E59" s="87">
        <f>TB!K64</f>
        <v>647667.43999999994</v>
      </c>
      <c r="F59" s="327">
        <v>428460</v>
      </c>
      <c r="G59" s="90"/>
      <c r="H59" s="94"/>
      <c r="I59" s="54"/>
      <c r="J59" s="54"/>
      <c r="K59" s="54"/>
    </row>
    <row r="60" spans="1:11" ht="12" customHeight="1">
      <c r="A60" s="72"/>
      <c r="B60" s="92"/>
      <c r="C60" s="91"/>
      <c r="D60" s="91"/>
      <c r="E60" s="91"/>
      <c r="F60" s="91"/>
      <c r="G60" s="89"/>
      <c r="H60" s="94"/>
      <c r="I60" s="54"/>
      <c r="J60" s="54"/>
      <c r="K60" s="54"/>
    </row>
    <row r="61" spans="1:11" ht="14.25" customHeight="1">
      <c r="A61" s="72"/>
      <c r="B61" s="99" t="s">
        <v>54</v>
      </c>
      <c r="C61" s="90"/>
      <c r="D61" s="90"/>
      <c r="E61" s="90">
        <f>E15+E26+E32+E41+E48+E54+E56+E59</f>
        <v>429147935.44</v>
      </c>
      <c r="F61" s="91">
        <f>F15+F26+F32+F41+F48+F54+F56+F59</f>
        <v>607193560.00011122</v>
      </c>
      <c r="G61" s="90"/>
      <c r="H61" s="94"/>
      <c r="I61" s="54"/>
      <c r="J61" s="54"/>
      <c r="K61" s="54"/>
    </row>
    <row r="62" spans="1:11" ht="12" customHeight="1">
      <c r="A62" s="72"/>
      <c r="B62" s="79"/>
      <c r="C62" s="84"/>
      <c r="D62" s="84"/>
      <c r="E62" s="84"/>
      <c r="F62" s="84"/>
      <c r="G62" s="84"/>
      <c r="H62" s="94"/>
      <c r="I62" s="54"/>
      <c r="J62" s="54"/>
      <c r="K62" s="54"/>
    </row>
    <row r="63" spans="1:11" ht="12" customHeight="1">
      <c r="A63" s="72"/>
      <c r="B63" s="79"/>
      <c r="C63" s="84"/>
      <c r="D63" s="84"/>
      <c r="E63" s="84"/>
      <c r="F63" s="84"/>
      <c r="G63" s="84"/>
      <c r="H63" s="94"/>
      <c r="I63" s="54"/>
      <c r="J63" s="54"/>
      <c r="K63" s="54"/>
    </row>
    <row r="64" spans="1:11" ht="12" customHeight="1">
      <c r="F64" s="101"/>
      <c r="G64" s="102"/>
      <c r="H64" s="94"/>
      <c r="I64" s="54"/>
      <c r="J64" s="54"/>
      <c r="K64" s="54"/>
    </row>
    <row r="65" spans="4:11" ht="12" customHeight="1">
      <c r="D65" s="340">
        <v>15</v>
      </c>
      <c r="F65" s="101"/>
      <c r="G65" s="102"/>
      <c r="H65" s="94"/>
      <c r="I65" s="54"/>
      <c r="J65" s="54"/>
      <c r="K65" s="54"/>
    </row>
    <row r="66" spans="4:11" ht="12" customHeight="1">
      <c r="F66" s="101"/>
      <c r="G66" s="102"/>
      <c r="H66" s="94"/>
      <c r="I66" s="54"/>
      <c r="J66" s="54"/>
      <c r="K66" s="54"/>
    </row>
    <row r="67" spans="4:11" ht="12" customHeight="1">
      <c r="F67" s="101"/>
      <c r="G67" s="102"/>
      <c r="H67" s="94"/>
      <c r="I67" s="54"/>
      <c r="J67" s="54"/>
      <c r="K67" s="54"/>
    </row>
    <row r="68" spans="4:11" ht="12" customHeight="1">
      <c r="F68" s="101"/>
      <c r="G68" s="102"/>
      <c r="H68" s="94"/>
      <c r="I68" s="54"/>
      <c r="J68" s="54"/>
      <c r="K68" s="54"/>
    </row>
    <row r="69" spans="4:11" ht="12" customHeight="1">
      <c r="F69" s="101"/>
      <c r="G69" s="102"/>
      <c r="H69" s="94"/>
      <c r="I69" s="54"/>
      <c r="J69" s="54"/>
      <c r="K69" s="54"/>
    </row>
    <row r="70" spans="4:11" ht="12" customHeight="1">
      <c r="F70" s="101"/>
      <c r="G70" s="102"/>
      <c r="H70" s="94"/>
      <c r="I70" s="54"/>
      <c r="J70" s="54"/>
      <c r="K70" s="54"/>
    </row>
    <row r="71" spans="4:11" ht="12" customHeight="1">
      <c r="F71" s="101"/>
      <c r="G71" s="102"/>
      <c r="H71" s="94"/>
      <c r="I71" s="54"/>
      <c r="J71" s="54"/>
      <c r="K71" s="54"/>
    </row>
    <row r="72" spans="4:11" ht="12" customHeight="1">
      <c r="F72" s="101"/>
      <c r="G72" s="102"/>
      <c r="H72" s="94"/>
      <c r="I72" s="54"/>
      <c r="J72" s="54"/>
      <c r="K72" s="54"/>
    </row>
    <row r="73" spans="4:11" ht="12" customHeight="1">
      <c r="F73" s="101"/>
      <c r="G73" s="102"/>
      <c r="H73" s="94"/>
      <c r="I73" s="54"/>
      <c r="J73" s="54"/>
      <c r="K73" s="54"/>
    </row>
    <row r="74" spans="4:11" ht="12" customHeight="1">
      <c r="F74" s="101"/>
      <c r="G74" s="102"/>
      <c r="H74" s="94"/>
      <c r="I74" s="54"/>
      <c r="J74" s="54"/>
      <c r="K74" s="54"/>
    </row>
    <row r="75" spans="4:11" ht="12" customHeight="1">
      <c r="F75" s="101"/>
      <c r="G75" s="102"/>
      <c r="H75" s="94"/>
      <c r="I75" s="54"/>
      <c r="J75" s="54"/>
      <c r="K75" s="54"/>
    </row>
    <row r="76" spans="4:11" ht="12" customHeight="1">
      <c r="F76" s="101"/>
      <c r="G76" s="102"/>
      <c r="H76" s="94"/>
      <c r="I76" s="54"/>
      <c r="J76" s="54"/>
      <c r="K76" s="54"/>
    </row>
    <row r="77" spans="4:11" ht="12" customHeight="1">
      <c r="F77" s="101"/>
      <c r="G77" s="102"/>
      <c r="H77" s="94"/>
      <c r="I77" s="54"/>
      <c r="J77" s="54"/>
      <c r="K77" s="54"/>
    </row>
    <row r="78" spans="4:11" ht="12" customHeight="1">
      <c r="F78" s="101"/>
      <c r="G78" s="102"/>
      <c r="H78" s="94"/>
      <c r="I78" s="54"/>
      <c r="J78" s="54"/>
      <c r="K78" s="54"/>
    </row>
    <row r="79" spans="4:11" ht="12" customHeight="1">
      <c r="F79" s="101"/>
      <c r="G79" s="102"/>
      <c r="H79" s="94"/>
      <c r="I79" s="54"/>
      <c r="J79" s="54"/>
      <c r="K79" s="54"/>
    </row>
    <row r="80" spans="4:11" ht="12" customHeight="1">
      <c r="F80" s="101"/>
      <c r="G80" s="102"/>
      <c r="H80" s="94"/>
      <c r="I80" s="54"/>
      <c r="J80" s="54"/>
      <c r="K80" s="54"/>
    </row>
    <row r="81" spans="6:11" ht="12" customHeight="1">
      <c r="F81" s="101"/>
      <c r="G81" s="102"/>
      <c r="H81" s="94"/>
      <c r="I81" s="54"/>
      <c r="J81" s="54"/>
      <c r="K81" s="54"/>
    </row>
    <row r="82" spans="6:11" ht="12" customHeight="1">
      <c r="F82" s="101"/>
      <c r="G82" s="102"/>
      <c r="H82" s="94"/>
      <c r="I82" s="54"/>
      <c r="J82" s="54"/>
      <c r="K82" s="54"/>
    </row>
    <row r="83" spans="6:11" ht="12" customHeight="1">
      <c r="F83" s="101"/>
      <c r="G83" s="102"/>
      <c r="H83" s="94"/>
      <c r="I83" s="54"/>
      <c r="J83" s="54"/>
      <c r="K83" s="54"/>
    </row>
    <row r="84" spans="6:11" ht="12" customHeight="1">
      <c r="F84" s="101"/>
      <c r="G84" s="102"/>
      <c r="H84" s="94"/>
      <c r="I84" s="54"/>
      <c r="J84" s="54"/>
      <c r="K84" s="54"/>
    </row>
    <row r="85" spans="6:11" ht="12" customHeight="1">
      <c r="F85" s="101"/>
      <c r="G85" s="102"/>
      <c r="H85" s="94"/>
      <c r="I85" s="54"/>
      <c r="J85" s="54"/>
      <c r="K85" s="54"/>
    </row>
    <row r="86" spans="6:11" ht="12" customHeight="1">
      <c r="F86" s="101"/>
      <c r="G86" s="102"/>
      <c r="H86" s="94"/>
      <c r="I86" s="54"/>
      <c r="J86" s="54"/>
      <c r="K86" s="54"/>
    </row>
    <row r="87" spans="6:11" ht="12" customHeight="1">
      <c r="F87" s="101"/>
      <c r="G87" s="102"/>
      <c r="H87" s="94"/>
      <c r="I87" s="54"/>
      <c r="J87" s="54"/>
      <c r="K87" s="54"/>
    </row>
    <row r="88" spans="6:11" ht="12" customHeight="1">
      <c r="F88" s="101"/>
      <c r="G88" s="102"/>
      <c r="H88" s="94"/>
      <c r="I88" s="54"/>
      <c r="J88" s="54"/>
      <c r="K88" s="54"/>
    </row>
    <row r="89" spans="6:11" ht="12" customHeight="1">
      <c r="F89" s="101"/>
      <c r="G89" s="102"/>
      <c r="H89" s="94"/>
      <c r="I89" s="54"/>
      <c r="J89" s="54"/>
      <c r="K89" s="54"/>
    </row>
    <row r="90" spans="6:11" ht="12" customHeight="1">
      <c r="F90" s="101"/>
      <c r="G90" s="102"/>
      <c r="H90" s="94"/>
      <c r="I90" s="54"/>
      <c r="J90" s="54"/>
      <c r="K90" s="54"/>
    </row>
    <row r="91" spans="6:11" ht="12" customHeight="1">
      <c r="F91" s="101"/>
      <c r="G91" s="102"/>
      <c r="H91" s="94"/>
      <c r="I91" s="54"/>
      <c r="J91" s="54"/>
      <c r="K91" s="54"/>
    </row>
    <row r="92" spans="6:11" ht="12" customHeight="1">
      <c r="F92" s="101"/>
      <c r="G92" s="102"/>
      <c r="H92" s="94"/>
      <c r="I92" s="54"/>
      <c r="J92" s="54"/>
      <c r="K92" s="54"/>
    </row>
    <row r="93" spans="6:11" ht="12" customHeight="1">
      <c r="F93" s="101"/>
      <c r="G93" s="102"/>
      <c r="H93" s="94"/>
      <c r="I93" s="54"/>
      <c r="J93" s="54"/>
      <c r="K93" s="54"/>
    </row>
    <row r="94" spans="6:11" ht="12" customHeight="1">
      <c r="F94" s="101"/>
      <c r="G94" s="102"/>
      <c r="H94" s="94"/>
      <c r="I94" s="54"/>
      <c r="J94" s="54"/>
      <c r="K94" s="54"/>
    </row>
    <row r="95" spans="6:11" ht="12" customHeight="1">
      <c r="F95" s="101"/>
      <c r="G95" s="102"/>
      <c r="H95" s="94"/>
      <c r="I95" s="54"/>
      <c r="J95" s="54"/>
      <c r="K95" s="54"/>
    </row>
    <row r="96" spans="6:11" ht="12" customHeight="1">
      <c r="F96" s="101"/>
      <c r="G96" s="102"/>
      <c r="H96" s="94"/>
      <c r="I96" s="54"/>
      <c r="J96" s="54"/>
      <c r="K96" s="54"/>
    </row>
    <row r="97" spans="1:11" ht="12" customHeight="1">
      <c r="F97" s="101"/>
      <c r="G97" s="102"/>
      <c r="H97" s="94"/>
      <c r="I97" s="54"/>
      <c r="J97" s="54"/>
      <c r="K97" s="54"/>
    </row>
    <row r="98" spans="1:11" ht="12" customHeight="1">
      <c r="F98" s="101"/>
      <c r="G98" s="102"/>
      <c r="H98" s="94"/>
      <c r="I98" s="54"/>
      <c r="J98" s="54"/>
      <c r="K98" s="54"/>
    </row>
    <row r="99" spans="1:11" ht="12" customHeight="1">
      <c r="F99" s="101"/>
      <c r="G99" s="102"/>
      <c r="H99" s="94"/>
      <c r="I99" s="54"/>
      <c r="J99" s="54"/>
      <c r="K99" s="54"/>
    </row>
    <row r="100" spans="1:11" ht="12" customHeight="1">
      <c r="F100" s="101"/>
      <c r="G100" s="102"/>
      <c r="H100" s="94"/>
      <c r="I100" s="54"/>
      <c r="J100" s="54"/>
      <c r="K100" s="54"/>
    </row>
    <row r="101" spans="1:11" ht="12" customHeight="1">
      <c r="F101" s="101"/>
      <c r="G101" s="102"/>
      <c r="H101" s="94"/>
      <c r="I101" s="54"/>
      <c r="J101" s="54"/>
      <c r="K101" s="54"/>
    </row>
    <row r="102" spans="1:11" ht="12" customHeight="1">
      <c r="F102" s="101"/>
      <c r="G102" s="102"/>
      <c r="H102" s="94"/>
      <c r="I102" s="54"/>
      <c r="J102" s="54"/>
      <c r="K102" s="54"/>
    </row>
    <row r="103" spans="1:11" ht="12" customHeight="1">
      <c r="B103" s="103"/>
      <c r="J103" s="54"/>
      <c r="K103" s="54"/>
    </row>
    <row r="104" spans="1:11" ht="12" customHeight="1">
      <c r="B104" s="103"/>
      <c r="J104" s="54"/>
      <c r="K104" s="54"/>
    </row>
    <row r="105" spans="1:11" ht="12" customHeight="1">
      <c r="B105" s="103"/>
      <c r="J105" s="54"/>
      <c r="K105" s="54"/>
    </row>
    <row r="106" spans="1:11" ht="12" customHeight="1">
      <c r="B106" s="103"/>
      <c r="J106" s="54"/>
      <c r="K106" s="54"/>
    </row>
    <row r="107" spans="1:11" ht="12" customHeight="1">
      <c r="B107" s="103"/>
      <c r="J107" s="54"/>
      <c r="K107" s="54"/>
    </row>
    <row r="108" spans="1:11" ht="12" customHeight="1">
      <c r="F108" s="78"/>
      <c r="G108" s="104"/>
      <c r="H108" s="78"/>
      <c r="J108" s="54"/>
      <c r="K108" s="54"/>
    </row>
    <row r="109" spans="1:11" ht="12" customHeight="1">
      <c r="F109" s="78"/>
      <c r="G109" s="78"/>
      <c r="H109" s="78"/>
      <c r="J109" s="54"/>
      <c r="K109" s="54"/>
    </row>
    <row r="110" spans="1:11" ht="12" customHeight="1">
      <c r="F110" s="94"/>
      <c r="G110" s="102"/>
      <c r="H110" s="94"/>
      <c r="J110" s="54"/>
      <c r="K110" s="54"/>
    </row>
    <row r="111" spans="1:11" ht="12" customHeight="1">
      <c r="B111" s="103"/>
      <c r="F111" s="54"/>
      <c r="G111" s="104"/>
      <c r="H111" s="54"/>
      <c r="J111" s="54"/>
      <c r="K111" s="54"/>
    </row>
    <row r="112" spans="1:11" ht="12" customHeight="1">
      <c r="A112" s="105"/>
      <c r="B112" s="103"/>
      <c r="F112" s="54"/>
      <c r="G112" s="104"/>
      <c r="H112" s="54"/>
      <c r="J112" s="54"/>
      <c r="K112" s="54"/>
    </row>
    <row r="113" spans="1:8" ht="12" customHeight="1">
      <c r="A113" s="105"/>
      <c r="F113" s="81"/>
      <c r="G113" s="104"/>
      <c r="H113" s="81"/>
    </row>
    <row r="114" spans="1:8" ht="12" customHeight="1">
      <c r="A114" s="105"/>
      <c r="F114" s="81"/>
      <c r="G114" s="104"/>
      <c r="H114" s="81"/>
    </row>
    <row r="115" spans="1:8" ht="12" customHeight="1">
      <c r="A115" s="105"/>
      <c r="F115" s="81"/>
      <c r="G115" s="104"/>
      <c r="H115" s="81"/>
    </row>
    <row r="116" spans="1:8" ht="12" customHeight="1">
      <c r="A116" s="105"/>
      <c r="F116" s="81"/>
      <c r="G116" s="104"/>
      <c r="H116" s="81"/>
    </row>
    <row r="117" spans="1:8" ht="12" customHeight="1">
      <c r="A117" s="105"/>
      <c r="F117" s="81"/>
      <c r="G117" s="104"/>
      <c r="H117" s="81"/>
    </row>
    <row r="118" spans="1:8" ht="12" customHeight="1">
      <c r="A118" s="105"/>
      <c r="F118" s="81"/>
      <c r="G118" s="104"/>
      <c r="H118" s="81"/>
    </row>
    <row r="119" spans="1:8" ht="12" customHeight="1">
      <c r="A119" s="105"/>
      <c r="F119" s="81"/>
      <c r="G119" s="104"/>
      <c r="H119" s="81"/>
    </row>
    <row r="120" spans="1:8" ht="12" customHeight="1">
      <c r="A120" s="105"/>
      <c r="F120" s="81"/>
      <c r="G120" s="104"/>
      <c r="H120" s="81"/>
    </row>
    <row r="121" spans="1:8" ht="12" customHeight="1">
      <c r="A121" s="105"/>
      <c r="F121" s="81"/>
      <c r="G121" s="104"/>
      <c r="H121" s="81"/>
    </row>
    <row r="122" spans="1:8" ht="12" customHeight="1">
      <c r="A122" s="105"/>
      <c r="F122" s="81"/>
      <c r="G122" s="104"/>
      <c r="H122" s="81"/>
    </row>
    <row r="123" spans="1:8" ht="12" customHeight="1">
      <c r="A123" s="105"/>
      <c r="F123" s="94"/>
      <c r="G123" s="102"/>
      <c r="H123" s="94"/>
    </row>
    <row r="124" spans="1:8" ht="12" customHeight="1">
      <c r="A124" s="105"/>
      <c r="F124" s="94"/>
      <c r="G124" s="94"/>
      <c r="H124" s="94"/>
    </row>
    <row r="125" spans="1:8" ht="12" customHeight="1">
      <c r="A125" s="105"/>
      <c r="F125" s="94"/>
      <c r="G125" s="102"/>
      <c r="H125" s="94"/>
    </row>
    <row r="126" spans="1:8" ht="12" customHeight="1">
      <c r="A126" s="105"/>
      <c r="B126" s="103"/>
      <c r="F126" s="94"/>
      <c r="G126" s="102"/>
      <c r="H126" s="94"/>
    </row>
    <row r="127" spans="1:8" ht="12" customHeight="1">
      <c r="A127" s="105"/>
      <c r="B127" s="103"/>
      <c r="F127" s="94"/>
      <c r="G127" s="102"/>
      <c r="H127" s="94"/>
    </row>
    <row r="128" spans="1:8" ht="12" customHeight="1">
      <c r="A128" s="105"/>
      <c r="F128" s="94"/>
      <c r="G128" s="102"/>
      <c r="H128" s="94"/>
    </row>
    <row r="129" spans="1:8" ht="12" customHeight="1">
      <c r="A129" s="105"/>
      <c r="F129" s="94"/>
      <c r="G129" s="102"/>
      <c r="H129" s="94"/>
    </row>
    <row r="130" spans="1:8" ht="12" customHeight="1">
      <c r="A130" s="105"/>
      <c r="F130" s="94"/>
      <c r="G130" s="102"/>
      <c r="H130" s="94"/>
    </row>
    <row r="131" spans="1:8" ht="12" customHeight="1">
      <c r="A131" s="105"/>
      <c r="F131" s="94"/>
      <c r="G131" s="102"/>
      <c r="H131" s="94"/>
    </row>
    <row r="132" spans="1:8" ht="12" customHeight="1">
      <c r="A132" s="105"/>
      <c r="F132" s="94"/>
      <c r="G132" s="102"/>
      <c r="H132" s="94"/>
    </row>
    <row r="133" spans="1:8" ht="12" customHeight="1">
      <c r="A133" s="105"/>
      <c r="F133" s="94"/>
      <c r="G133" s="102"/>
      <c r="H133" s="94"/>
    </row>
    <row r="134" spans="1:8" ht="12" customHeight="1">
      <c r="A134" s="105"/>
      <c r="B134" s="103"/>
      <c r="F134" s="94"/>
      <c r="G134" s="102"/>
      <c r="H134" s="94"/>
    </row>
    <row r="135" spans="1:8" ht="12" customHeight="1">
      <c r="A135" s="105"/>
      <c r="F135" s="94"/>
      <c r="G135" s="102"/>
      <c r="H135" s="94"/>
    </row>
    <row r="136" spans="1:8" ht="12" customHeight="1">
      <c r="A136" s="105"/>
      <c r="F136" s="94"/>
      <c r="G136" s="102"/>
      <c r="H136" s="94"/>
    </row>
    <row r="137" spans="1:8" ht="12" customHeight="1">
      <c r="A137" s="105"/>
      <c r="F137" s="94"/>
      <c r="G137" s="102"/>
      <c r="H137" s="94"/>
    </row>
    <row r="138" spans="1:8" ht="12" customHeight="1">
      <c r="A138" s="105"/>
      <c r="F138" s="94"/>
      <c r="G138" s="102"/>
      <c r="H138" s="94"/>
    </row>
    <row r="139" spans="1:8" ht="12" customHeight="1">
      <c r="A139" s="105"/>
      <c r="F139" s="94"/>
      <c r="G139" s="102"/>
      <c r="H139" s="94"/>
    </row>
    <row r="140" spans="1:8" ht="12" customHeight="1">
      <c r="A140" s="105"/>
      <c r="B140" s="103"/>
      <c r="F140" s="94"/>
      <c r="G140" s="102"/>
      <c r="H140" s="94"/>
    </row>
    <row r="141" spans="1:8" ht="12" customHeight="1">
      <c r="A141" s="105"/>
      <c r="F141" s="94"/>
      <c r="G141" s="102"/>
      <c r="H141" s="94"/>
    </row>
    <row r="142" spans="1:8" ht="12" customHeight="1">
      <c r="A142" s="105"/>
      <c r="F142" s="94"/>
      <c r="G142" s="102"/>
      <c r="H142" s="94"/>
    </row>
    <row r="143" spans="1:8" ht="12" customHeight="1">
      <c r="A143" s="105"/>
      <c r="F143" s="94"/>
      <c r="G143" s="102"/>
      <c r="H143" s="94"/>
    </row>
    <row r="144" spans="1:8" ht="12" customHeight="1">
      <c r="A144" s="105"/>
      <c r="F144" s="94"/>
      <c r="G144" s="102"/>
      <c r="H144" s="94"/>
    </row>
    <row r="145" spans="1:8" ht="12" customHeight="1">
      <c r="A145" s="105"/>
      <c r="F145" s="94"/>
      <c r="G145" s="102"/>
      <c r="H145" s="94"/>
    </row>
    <row r="146" spans="1:8" ht="12" customHeight="1">
      <c r="A146" s="105"/>
      <c r="B146" s="103"/>
      <c r="F146" s="94"/>
      <c r="G146" s="102"/>
      <c r="H146" s="94"/>
    </row>
    <row r="147" spans="1:8" ht="12" customHeight="1">
      <c r="A147" s="105"/>
      <c r="F147" s="94"/>
      <c r="G147" s="102"/>
      <c r="H147" s="94"/>
    </row>
    <row r="148" spans="1:8" ht="12" customHeight="1">
      <c r="A148" s="105"/>
      <c r="F148" s="94"/>
      <c r="G148" s="102"/>
      <c r="H148" s="94"/>
    </row>
    <row r="149" spans="1:8" ht="12" customHeight="1">
      <c r="A149" s="105"/>
      <c r="F149" s="94"/>
      <c r="G149" s="102"/>
      <c r="H149" s="94"/>
    </row>
    <row r="150" spans="1:8" ht="12" customHeight="1">
      <c r="A150" s="105"/>
      <c r="B150" s="103"/>
      <c r="F150" s="94"/>
      <c r="G150" s="102"/>
      <c r="H150" s="94"/>
    </row>
    <row r="151" spans="1:8" ht="12" customHeight="1">
      <c r="A151" s="105"/>
      <c r="F151" s="94"/>
      <c r="G151" s="102"/>
      <c r="H151" s="94"/>
    </row>
    <row r="152" spans="1:8" ht="12" customHeight="1">
      <c r="A152" s="105"/>
      <c r="F152" s="94"/>
      <c r="G152" s="102"/>
      <c r="H152" s="94"/>
    </row>
    <row r="153" spans="1:8" ht="12" customHeight="1">
      <c r="A153" s="105"/>
      <c r="F153" s="94"/>
      <c r="G153" s="102"/>
      <c r="H153" s="94"/>
    </row>
    <row r="154" spans="1:8" ht="12" customHeight="1">
      <c r="A154" s="105"/>
      <c r="F154" s="94"/>
      <c r="G154" s="102"/>
      <c r="H154" s="94"/>
    </row>
    <row r="155" spans="1:8" ht="12" customHeight="1">
      <c r="A155" s="105"/>
      <c r="F155" s="94"/>
      <c r="G155" s="102"/>
      <c r="H155" s="94"/>
    </row>
    <row r="156" spans="1:8" ht="12" customHeight="1">
      <c r="A156" s="105"/>
      <c r="F156" s="94"/>
      <c r="G156" s="102"/>
      <c r="H156" s="94"/>
    </row>
    <row r="157" spans="1:8" ht="12" customHeight="1">
      <c r="A157" s="105"/>
      <c r="F157" s="94"/>
      <c r="G157" s="102"/>
      <c r="H157" s="94"/>
    </row>
    <row r="158" spans="1:8" ht="12" customHeight="1">
      <c r="A158" s="105"/>
      <c r="F158" s="94"/>
      <c r="G158" s="102"/>
      <c r="H158" s="94"/>
    </row>
    <row r="159" spans="1:8" ht="12" customHeight="1">
      <c r="A159" s="105"/>
      <c r="F159" s="94"/>
      <c r="G159" s="102"/>
      <c r="H159" s="94"/>
    </row>
    <row r="160" spans="1:8" ht="12" customHeight="1">
      <c r="A160" s="105"/>
      <c r="F160" s="94"/>
      <c r="G160" s="102"/>
      <c r="H160" s="94"/>
    </row>
    <row r="161" spans="1:8" ht="12" customHeight="1">
      <c r="A161" s="105"/>
      <c r="F161" s="94"/>
      <c r="G161" s="102"/>
      <c r="H161" s="94"/>
    </row>
    <row r="162" spans="1:8" ht="12" customHeight="1">
      <c r="A162" s="105"/>
      <c r="F162" s="94"/>
      <c r="G162" s="102"/>
      <c r="H162" s="94"/>
    </row>
    <row r="163" spans="1:8" ht="12" customHeight="1">
      <c r="A163" s="105"/>
      <c r="F163" s="94"/>
      <c r="G163" s="102"/>
      <c r="H163" s="94"/>
    </row>
    <row r="164" spans="1:8" ht="12" customHeight="1">
      <c r="A164" s="105"/>
      <c r="F164" s="94"/>
      <c r="G164" s="102"/>
      <c r="H164" s="94"/>
    </row>
    <row r="165" spans="1:8" ht="12" customHeight="1">
      <c r="A165" s="105"/>
      <c r="F165" s="94"/>
      <c r="G165" s="102"/>
      <c r="H165" s="94"/>
    </row>
    <row r="166" spans="1:8" ht="12" customHeight="1">
      <c r="A166" s="105"/>
      <c r="F166" s="94"/>
      <c r="G166" s="102"/>
      <c r="H166" s="94"/>
    </row>
    <row r="167" spans="1:8" ht="12" customHeight="1">
      <c r="A167" s="105"/>
      <c r="F167" s="94"/>
      <c r="G167" s="102"/>
      <c r="H167" s="94"/>
    </row>
    <row r="168" spans="1:8" ht="12" customHeight="1">
      <c r="A168" s="105"/>
      <c r="F168" s="94"/>
      <c r="G168" s="102"/>
      <c r="H168" s="94"/>
    </row>
    <row r="169" spans="1:8" ht="12" customHeight="1">
      <c r="A169" s="105"/>
      <c r="F169" s="94"/>
      <c r="G169" s="102"/>
      <c r="H169" s="94"/>
    </row>
    <row r="170" spans="1:8" ht="12" customHeight="1">
      <c r="A170" s="105"/>
      <c r="F170" s="94"/>
      <c r="G170" s="102"/>
      <c r="H170" s="94"/>
    </row>
    <row r="171" spans="1:8" ht="12" customHeight="1">
      <c r="A171" s="105"/>
      <c r="F171" s="94"/>
      <c r="G171" s="102"/>
      <c r="H171" s="94"/>
    </row>
    <row r="172" spans="1:8" ht="12" customHeight="1">
      <c r="A172" s="105"/>
      <c r="F172" s="94"/>
      <c r="G172" s="102"/>
      <c r="H172" s="94"/>
    </row>
    <row r="173" spans="1:8" ht="12" customHeight="1">
      <c r="A173" s="105"/>
      <c r="F173" s="94"/>
      <c r="G173" s="102"/>
      <c r="H173" s="94"/>
    </row>
    <row r="174" spans="1:8" ht="12" customHeight="1">
      <c r="A174" s="105"/>
      <c r="F174" s="94"/>
      <c r="G174" s="102"/>
      <c r="H174" s="94"/>
    </row>
    <row r="175" spans="1:8" ht="12" customHeight="1">
      <c r="A175" s="105"/>
      <c r="F175" s="94"/>
      <c r="G175" s="102"/>
      <c r="H175" s="94"/>
    </row>
    <row r="176" spans="1:8" ht="12" customHeight="1">
      <c r="A176" s="105"/>
      <c r="B176" s="103"/>
      <c r="F176" s="54"/>
      <c r="G176" s="54"/>
      <c r="H176" s="54"/>
    </row>
    <row r="177" spans="1:8" ht="12" customHeight="1">
      <c r="A177" s="105"/>
      <c r="B177" s="103"/>
      <c r="F177" s="54"/>
      <c r="G177" s="54"/>
      <c r="H177" s="54"/>
    </row>
    <row r="178" spans="1:8" ht="12" customHeight="1">
      <c r="A178" s="105"/>
      <c r="B178" s="103"/>
      <c r="F178" s="54"/>
      <c r="G178" s="54"/>
      <c r="H178" s="54"/>
    </row>
    <row r="179" spans="1:8" ht="12" customHeight="1">
      <c r="A179" s="105"/>
      <c r="B179" s="103"/>
      <c r="F179" s="54"/>
      <c r="G179" s="54"/>
      <c r="H179" s="54"/>
    </row>
    <row r="180" spans="1:8" ht="12" customHeight="1">
      <c r="A180" s="105"/>
      <c r="B180" s="103"/>
      <c r="F180" s="54"/>
      <c r="G180" s="54"/>
      <c r="H180" s="54"/>
    </row>
    <row r="181" spans="1:8" ht="12" customHeight="1">
      <c r="A181" s="105"/>
      <c r="F181" s="78"/>
      <c r="G181" s="104"/>
      <c r="H181" s="78"/>
    </row>
    <row r="182" spans="1:8" ht="12" customHeight="1">
      <c r="A182" s="105"/>
      <c r="F182" s="78"/>
      <c r="G182" s="78"/>
      <c r="H182" s="78"/>
    </row>
    <row r="183" spans="1:8" ht="12" customHeight="1">
      <c r="A183" s="105"/>
      <c r="F183" s="94"/>
      <c r="G183" s="102"/>
      <c r="H183" s="94"/>
    </row>
    <row r="184" spans="1:8" ht="12" customHeight="1">
      <c r="A184" s="105"/>
      <c r="B184" s="103"/>
      <c r="F184" s="106"/>
      <c r="G184" s="104"/>
      <c r="H184" s="106"/>
    </row>
    <row r="185" spans="1:8" ht="12" customHeight="1">
      <c r="A185" s="105"/>
      <c r="F185" s="81"/>
      <c r="G185" s="104"/>
      <c r="H185" s="81"/>
    </row>
    <row r="186" spans="1:8" ht="12" customHeight="1">
      <c r="A186" s="105"/>
      <c r="F186" s="81"/>
      <c r="G186" s="104"/>
      <c r="H186" s="81"/>
    </row>
    <row r="187" spans="1:8" ht="12" customHeight="1">
      <c r="A187" s="105"/>
      <c r="F187" s="81"/>
      <c r="G187" s="104"/>
      <c r="H187" s="81"/>
    </row>
    <row r="188" spans="1:8" ht="12" customHeight="1">
      <c r="A188" s="105"/>
      <c r="F188" s="81"/>
      <c r="G188" s="104"/>
      <c r="H188" s="81"/>
    </row>
    <row r="189" spans="1:8" ht="12" customHeight="1">
      <c r="A189" s="105"/>
      <c r="F189" s="81"/>
      <c r="G189" s="104"/>
      <c r="H189" s="81"/>
    </row>
    <row r="190" spans="1:8" ht="12" customHeight="1">
      <c r="A190" s="105"/>
      <c r="F190" s="81"/>
      <c r="G190" s="104"/>
      <c r="H190" s="81"/>
    </row>
    <row r="191" spans="1:8" ht="12" customHeight="1">
      <c r="A191" s="105"/>
      <c r="F191" s="81"/>
      <c r="G191" s="104"/>
      <c r="H191" s="81"/>
    </row>
    <row r="192" spans="1:8" ht="12" customHeight="1">
      <c r="A192" s="105"/>
      <c r="F192" s="81"/>
      <c r="G192" s="104"/>
      <c r="H192" s="81"/>
    </row>
    <row r="193" spans="1:8" ht="12" customHeight="1">
      <c r="A193" s="105"/>
      <c r="F193" s="81"/>
      <c r="G193" s="104"/>
      <c r="H193" s="81"/>
    </row>
    <row r="194" spans="1:8" ht="12" customHeight="1">
      <c r="A194" s="105"/>
      <c r="F194" s="94"/>
      <c r="G194" s="102"/>
      <c r="H194" s="107"/>
    </row>
    <row r="195" spans="1:8" ht="12" customHeight="1">
      <c r="A195" s="105"/>
      <c r="F195" s="94"/>
      <c r="G195" s="94"/>
      <c r="H195" s="94"/>
    </row>
    <row r="196" spans="1:8" ht="12" customHeight="1">
      <c r="A196" s="105"/>
      <c r="B196" s="103"/>
      <c r="F196" s="94"/>
      <c r="G196" s="102"/>
    </row>
    <row r="197" spans="1:8" ht="12" customHeight="1">
      <c r="A197" s="105"/>
      <c r="B197" s="103"/>
      <c r="F197" s="94"/>
      <c r="G197" s="102"/>
    </row>
    <row r="198" spans="1:8" ht="12" customHeight="1">
      <c r="A198" s="105"/>
      <c r="F198" s="94"/>
      <c r="G198" s="102"/>
    </row>
    <row r="199" spans="1:8" ht="12" customHeight="1">
      <c r="A199" s="105"/>
      <c r="F199" s="94"/>
      <c r="G199" s="102"/>
    </row>
    <row r="200" spans="1:8" ht="12" customHeight="1">
      <c r="A200" s="105"/>
      <c r="F200" s="94"/>
      <c r="G200" s="102"/>
    </row>
    <row r="201" spans="1:8" ht="12" customHeight="1">
      <c r="A201" s="105"/>
      <c r="F201" s="94"/>
      <c r="G201" s="102"/>
    </row>
    <row r="202" spans="1:8" ht="12" customHeight="1">
      <c r="A202" s="105"/>
      <c r="F202" s="94"/>
      <c r="G202" s="102"/>
    </row>
    <row r="203" spans="1:8" ht="12" customHeight="1">
      <c r="A203" s="105"/>
    </row>
    <row r="204" spans="1:8" ht="12" customHeight="1">
      <c r="A204" s="105"/>
      <c r="B204" s="103"/>
      <c r="F204" s="54"/>
      <c r="G204" s="104"/>
      <c r="H204" s="94"/>
    </row>
    <row r="205" spans="1:8" ht="12" customHeight="1">
      <c r="A205" s="105"/>
      <c r="F205" s="81"/>
      <c r="G205" s="104"/>
      <c r="H205" s="81"/>
    </row>
    <row r="206" spans="1:8" ht="12" customHeight="1">
      <c r="A206" s="105"/>
      <c r="F206" s="81"/>
      <c r="G206" s="104"/>
      <c r="H206" s="81"/>
    </row>
    <row r="207" spans="1:8" ht="12" customHeight="1">
      <c r="A207" s="105"/>
      <c r="F207" s="81"/>
      <c r="G207" s="104"/>
      <c r="H207" s="81"/>
    </row>
    <row r="208" spans="1:8" ht="12" customHeight="1">
      <c r="A208" s="105"/>
      <c r="F208" s="81"/>
      <c r="G208" s="104"/>
      <c r="H208" s="81"/>
    </row>
    <row r="209" spans="1:8" ht="12" customHeight="1">
      <c r="A209" s="105"/>
      <c r="F209" s="94"/>
      <c r="G209" s="102"/>
      <c r="H209" s="94"/>
    </row>
    <row r="210" spans="1:8" ht="12" customHeight="1">
      <c r="A210" s="105"/>
      <c r="F210" s="94"/>
      <c r="G210" s="94"/>
      <c r="H210" s="94"/>
    </row>
    <row r="211" spans="1:8" ht="12" customHeight="1">
      <c r="A211" s="105"/>
      <c r="F211" s="94"/>
      <c r="G211" s="94"/>
      <c r="H211" s="94"/>
    </row>
    <row r="212" spans="1:8" ht="12" customHeight="1">
      <c r="A212" s="105"/>
      <c r="B212" s="103"/>
      <c r="F212" s="94"/>
      <c r="G212" s="94"/>
      <c r="H212" s="94"/>
    </row>
    <row r="213" spans="1:8" ht="12" customHeight="1">
      <c r="A213" s="105"/>
      <c r="B213" s="103"/>
      <c r="F213" s="94"/>
      <c r="G213" s="94"/>
      <c r="H213" s="94"/>
    </row>
    <row r="214" spans="1:8" ht="12" customHeight="1">
      <c r="A214" s="105"/>
      <c r="F214" s="94"/>
      <c r="G214" s="94"/>
      <c r="H214" s="94"/>
    </row>
    <row r="215" spans="1:8" ht="12" customHeight="1">
      <c r="A215" s="105"/>
      <c r="F215" s="94"/>
      <c r="G215" s="94"/>
      <c r="H215" s="94"/>
    </row>
    <row r="216" spans="1:8" ht="12" customHeight="1">
      <c r="A216" s="105"/>
      <c r="F216" s="94"/>
      <c r="G216" s="94"/>
      <c r="H216" s="94"/>
    </row>
    <row r="217" spans="1:8" ht="12" customHeight="1">
      <c r="A217" s="105"/>
      <c r="F217" s="94"/>
      <c r="G217" s="94"/>
      <c r="H217" s="94"/>
    </row>
    <row r="218" spans="1:8" ht="12" customHeight="1">
      <c r="A218" s="105"/>
      <c r="F218" s="94"/>
      <c r="G218" s="94"/>
      <c r="H218" s="94"/>
    </row>
    <row r="219" spans="1:8" ht="12" customHeight="1">
      <c r="A219" s="105"/>
      <c r="F219" s="94"/>
      <c r="G219" s="94"/>
      <c r="H219" s="94"/>
    </row>
    <row r="220" spans="1:8" ht="12" customHeight="1">
      <c r="A220" s="105"/>
      <c r="F220" s="94"/>
      <c r="G220" s="94"/>
      <c r="H220" s="94"/>
    </row>
    <row r="221" spans="1:8" ht="12" customHeight="1">
      <c r="A221" s="105"/>
      <c r="F221" s="94"/>
      <c r="G221" s="94"/>
      <c r="H221" s="94"/>
    </row>
    <row r="222" spans="1:8" ht="12" customHeight="1">
      <c r="A222" s="105"/>
      <c r="F222" s="94"/>
      <c r="G222" s="94"/>
      <c r="H222" s="94"/>
    </row>
    <row r="223" spans="1:8" ht="12" customHeight="1">
      <c r="A223" s="105"/>
      <c r="F223" s="94"/>
      <c r="G223" s="94"/>
      <c r="H223" s="94"/>
    </row>
    <row r="224" spans="1:8" ht="12" customHeight="1">
      <c r="A224" s="105"/>
      <c r="F224" s="94"/>
      <c r="G224" s="94"/>
      <c r="H224" s="94"/>
    </row>
    <row r="225" spans="1:8" ht="12" customHeight="1">
      <c r="A225" s="105"/>
      <c r="B225" s="103"/>
      <c r="F225" s="94"/>
      <c r="G225" s="94"/>
      <c r="H225" s="94"/>
    </row>
    <row r="226" spans="1:8" ht="12" customHeight="1">
      <c r="A226" s="105"/>
      <c r="F226" s="94"/>
      <c r="G226" s="94"/>
      <c r="H226" s="94"/>
    </row>
    <row r="227" spans="1:8" ht="12" customHeight="1">
      <c r="A227" s="105"/>
      <c r="F227" s="94"/>
      <c r="G227" s="94"/>
      <c r="H227" s="94"/>
    </row>
    <row r="228" spans="1:8" ht="12" customHeight="1">
      <c r="A228" s="105"/>
      <c r="F228" s="94"/>
      <c r="G228" s="94"/>
      <c r="H228" s="94"/>
    </row>
    <row r="229" spans="1:8" ht="12" customHeight="1">
      <c r="A229" s="105"/>
      <c r="F229" s="94"/>
      <c r="G229" s="94"/>
      <c r="H229" s="94"/>
    </row>
    <row r="230" spans="1:8" ht="12" customHeight="1">
      <c r="A230" s="105"/>
      <c r="F230" s="94"/>
      <c r="G230" s="94"/>
      <c r="H230" s="94"/>
    </row>
    <row r="231" spans="1:8" ht="12" customHeight="1">
      <c r="A231" s="105"/>
      <c r="F231" s="94"/>
      <c r="G231" s="94"/>
      <c r="H231" s="94"/>
    </row>
    <row r="232" spans="1:8" ht="12" customHeight="1">
      <c r="A232" s="105"/>
      <c r="F232" s="94"/>
      <c r="G232" s="94"/>
      <c r="H232" s="94"/>
    </row>
    <row r="233" spans="1:8" ht="12" customHeight="1">
      <c r="A233" s="105"/>
      <c r="F233" s="94"/>
      <c r="G233" s="94"/>
      <c r="H233" s="94"/>
    </row>
    <row r="234" spans="1:8" ht="12" customHeight="1">
      <c r="A234" s="105"/>
      <c r="F234" s="94"/>
      <c r="G234" s="94"/>
      <c r="H234" s="94"/>
    </row>
    <row r="235" spans="1:8" ht="12" customHeight="1">
      <c r="A235" s="105"/>
      <c r="F235" s="94"/>
      <c r="G235" s="94"/>
      <c r="H235" s="94"/>
    </row>
    <row r="236" spans="1:8" ht="12" customHeight="1">
      <c r="A236" s="105"/>
      <c r="F236" s="94"/>
      <c r="G236" s="94"/>
      <c r="H236" s="94"/>
    </row>
    <row r="237" spans="1:8" ht="12" customHeight="1">
      <c r="A237" s="105"/>
      <c r="F237" s="94"/>
      <c r="G237" s="94"/>
      <c r="H237" s="94"/>
    </row>
    <row r="238" spans="1:8" ht="12" customHeight="1">
      <c r="A238" s="105"/>
      <c r="F238" s="94"/>
      <c r="G238" s="94"/>
      <c r="H238" s="94"/>
    </row>
    <row r="239" spans="1:8" ht="12" customHeight="1">
      <c r="A239" s="105"/>
      <c r="F239" s="94"/>
      <c r="G239" s="94"/>
      <c r="H239" s="94"/>
    </row>
    <row r="240" spans="1:8" ht="12" customHeight="1">
      <c r="A240" s="105"/>
      <c r="F240" s="94"/>
      <c r="G240" s="94"/>
      <c r="H240" s="94"/>
    </row>
    <row r="241" spans="1:8" ht="12" customHeight="1">
      <c r="A241" s="105"/>
      <c r="F241" s="94"/>
      <c r="G241" s="94"/>
      <c r="H241" s="94"/>
    </row>
    <row r="242" spans="1:8" ht="12" customHeight="1">
      <c r="A242" s="105"/>
      <c r="F242" s="94"/>
      <c r="G242" s="94"/>
      <c r="H242" s="94"/>
    </row>
    <row r="243" spans="1:8" ht="12" customHeight="1">
      <c r="A243" s="105"/>
      <c r="F243" s="94"/>
      <c r="G243" s="94"/>
      <c r="H243" s="94"/>
    </row>
    <row r="244" spans="1:8" ht="12" customHeight="1">
      <c r="A244" s="105"/>
      <c r="F244" s="94"/>
      <c r="G244" s="94"/>
      <c r="H244" s="94"/>
    </row>
    <row r="245" spans="1:8" ht="12" customHeight="1">
      <c r="A245" s="105"/>
      <c r="F245" s="94"/>
      <c r="G245" s="94"/>
      <c r="H245" s="94"/>
    </row>
    <row r="246" spans="1:8" ht="12" customHeight="1">
      <c r="A246" s="105"/>
      <c r="F246" s="94"/>
      <c r="G246" s="94"/>
      <c r="H246" s="94"/>
    </row>
    <row r="247" spans="1:8" ht="12" customHeight="1">
      <c r="A247" s="105"/>
      <c r="F247" s="94"/>
      <c r="G247" s="94"/>
      <c r="H247" s="94"/>
    </row>
    <row r="248" spans="1:8" ht="12" customHeight="1">
      <c r="A248" s="105"/>
      <c r="F248" s="94"/>
      <c r="G248" s="94"/>
      <c r="H248" s="94"/>
    </row>
    <row r="249" spans="1:8" ht="12" customHeight="1">
      <c r="A249" s="105"/>
      <c r="F249" s="94"/>
      <c r="G249" s="94"/>
      <c r="H249" s="94"/>
    </row>
    <row r="250" spans="1:8" ht="12" customHeight="1">
      <c r="A250" s="105"/>
      <c r="B250" s="103"/>
      <c r="F250" s="94"/>
      <c r="G250" s="94"/>
      <c r="H250" s="94"/>
    </row>
    <row r="251" spans="1:8" ht="12" customHeight="1">
      <c r="A251" s="105"/>
      <c r="B251" s="103"/>
      <c r="F251" s="94"/>
      <c r="G251" s="94"/>
      <c r="H251" s="94"/>
    </row>
    <row r="252" spans="1:8" ht="12" customHeight="1">
      <c r="A252" s="105"/>
      <c r="B252" s="103"/>
      <c r="F252" s="94"/>
      <c r="G252" s="94"/>
      <c r="H252" s="94"/>
    </row>
    <row r="253" spans="1:8" ht="12" customHeight="1">
      <c r="A253" s="105"/>
      <c r="B253" s="103"/>
      <c r="F253" s="94"/>
      <c r="G253" s="94"/>
      <c r="H253" s="94"/>
    </row>
    <row r="254" spans="1:8" ht="12" customHeight="1">
      <c r="A254" s="105"/>
      <c r="B254" s="103"/>
      <c r="F254" s="94"/>
      <c r="G254" s="94"/>
      <c r="H254" s="94"/>
    </row>
    <row r="255" spans="1:8" ht="12" customHeight="1">
      <c r="A255" s="105"/>
      <c r="F255" s="78"/>
      <c r="G255" s="104"/>
      <c r="H255" s="78"/>
    </row>
    <row r="256" spans="1:8" ht="12" customHeight="1">
      <c r="A256" s="105"/>
      <c r="F256" s="78"/>
      <c r="G256" s="78"/>
      <c r="H256" s="78"/>
    </row>
    <row r="257" spans="1:12" ht="12" customHeight="1">
      <c r="A257" s="105"/>
      <c r="B257" s="103"/>
      <c r="F257" s="54"/>
      <c r="G257" s="104"/>
      <c r="H257" s="81"/>
    </row>
    <row r="258" spans="1:12" ht="12" customHeight="1">
      <c r="A258" s="105"/>
      <c r="F258" s="81"/>
      <c r="G258" s="104"/>
      <c r="H258" s="81"/>
    </row>
    <row r="259" spans="1:12" ht="12" customHeight="1">
      <c r="A259" s="105"/>
      <c r="F259" s="81"/>
      <c r="G259" s="104"/>
      <c r="H259" s="81"/>
    </row>
    <row r="260" spans="1:12" ht="12" customHeight="1">
      <c r="A260" s="72"/>
      <c r="F260" s="81"/>
      <c r="G260" s="104"/>
      <c r="H260" s="81"/>
    </row>
    <row r="261" spans="1:12" ht="12" customHeight="1">
      <c r="A261" s="72"/>
      <c r="F261" s="81"/>
      <c r="G261" s="104"/>
      <c r="H261" s="81"/>
    </row>
    <row r="262" spans="1:12" ht="12" customHeight="1">
      <c r="A262" s="72"/>
      <c r="F262" s="81"/>
      <c r="G262" s="104"/>
      <c r="H262" s="81"/>
    </row>
    <row r="263" spans="1:12" ht="12" customHeight="1">
      <c r="A263" s="72"/>
      <c r="F263" s="81"/>
      <c r="G263" s="104"/>
      <c r="H263" s="81"/>
    </row>
    <row r="264" spans="1:12" ht="12" customHeight="1">
      <c r="A264" s="72"/>
      <c r="F264" s="81"/>
      <c r="G264" s="104"/>
      <c r="H264" s="81"/>
    </row>
    <row r="265" spans="1:12" ht="12" customHeight="1">
      <c r="A265" s="72"/>
      <c r="F265" s="81"/>
      <c r="G265" s="104"/>
      <c r="H265" s="81"/>
    </row>
    <row r="266" spans="1:12" ht="12" customHeight="1">
      <c r="A266" s="72"/>
      <c r="F266" s="81"/>
      <c r="G266" s="104"/>
      <c r="H266" s="81"/>
    </row>
    <row r="267" spans="1:12" ht="12" customHeight="1">
      <c r="A267" s="105"/>
      <c r="F267" s="81"/>
      <c r="G267" s="104"/>
      <c r="H267" s="81"/>
    </row>
    <row r="268" spans="1:12" ht="12" customHeight="1">
      <c r="A268" s="105"/>
      <c r="F268" s="81"/>
      <c r="G268" s="104"/>
      <c r="H268" s="81"/>
    </row>
    <row r="269" spans="1:12" ht="12" customHeight="1">
      <c r="A269" s="105"/>
      <c r="F269" s="81"/>
      <c r="G269" s="104"/>
      <c r="H269" s="81"/>
    </row>
    <row r="270" spans="1:12" ht="12" customHeight="1">
      <c r="A270" s="105"/>
      <c r="F270" s="81"/>
      <c r="G270" s="104"/>
      <c r="H270" s="81"/>
    </row>
    <row r="271" spans="1:12" ht="12" customHeight="1">
      <c r="A271" s="105"/>
      <c r="F271" s="81"/>
      <c r="G271" s="104"/>
      <c r="H271" s="81"/>
    </row>
    <row r="272" spans="1:12" ht="12" customHeight="1">
      <c r="A272" s="105"/>
      <c r="F272" s="81"/>
      <c r="G272" s="104"/>
      <c r="H272" s="81"/>
      <c r="J272" s="54"/>
      <c r="K272" s="54"/>
      <c r="L272" s="54"/>
    </row>
    <row r="273" spans="1:12" ht="12" customHeight="1">
      <c r="A273" s="105"/>
      <c r="F273" s="81"/>
      <c r="G273" s="104"/>
      <c r="H273" s="81"/>
      <c r="J273" s="54"/>
      <c r="K273" s="54"/>
      <c r="L273" s="54"/>
    </row>
    <row r="274" spans="1:12" ht="12" customHeight="1">
      <c r="A274" s="105"/>
      <c r="F274" s="94"/>
      <c r="G274" s="102"/>
      <c r="H274" s="94"/>
      <c r="J274" s="54"/>
      <c r="K274" s="54"/>
      <c r="L274" s="54"/>
    </row>
    <row r="275" spans="1:12" ht="12" customHeight="1">
      <c r="A275" s="105"/>
      <c r="F275" s="94"/>
      <c r="G275" s="94"/>
      <c r="H275" s="94"/>
      <c r="I275" s="94"/>
      <c r="J275" s="54"/>
      <c r="K275" s="54"/>
      <c r="L275" s="54"/>
    </row>
    <row r="276" spans="1:12" ht="12" customHeight="1">
      <c r="A276" s="105"/>
      <c r="F276" s="94"/>
      <c r="G276" s="94"/>
      <c r="H276" s="94"/>
      <c r="J276" s="54"/>
      <c r="K276" s="54"/>
      <c r="L276" s="54"/>
    </row>
    <row r="277" spans="1:12" ht="12" customHeight="1">
      <c r="A277" s="105"/>
      <c r="B277" s="103"/>
      <c r="F277" s="94"/>
      <c r="G277" s="94"/>
      <c r="H277" s="94"/>
      <c r="J277" s="54"/>
      <c r="K277" s="54"/>
      <c r="L277" s="54"/>
    </row>
    <row r="278" spans="1:12" ht="12" customHeight="1">
      <c r="A278" s="105"/>
      <c r="B278" s="103"/>
      <c r="F278" s="94"/>
      <c r="G278" s="94"/>
      <c r="H278" s="94"/>
      <c r="J278" s="54"/>
      <c r="K278" s="54"/>
      <c r="L278" s="54"/>
    </row>
    <row r="279" spans="1:12" ht="12" customHeight="1">
      <c r="A279" s="105"/>
      <c r="F279" s="94"/>
      <c r="G279" s="94"/>
      <c r="H279" s="94"/>
      <c r="J279" s="54"/>
      <c r="K279" s="54"/>
      <c r="L279" s="54"/>
    </row>
    <row r="280" spans="1:12" ht="12" customHeight="1">
      <c r="A280" s="105"/>
      <c r="F280" s="94"/>
      <c r="G280" s="94"/>
      <c r="H280" s="94"/>
      <c r="J280" s="54"/>
      <c r="K280" s="54"/>
      <c r="L280" s="54"/>
    </row>
    <row r="281" spans="1:12" ht="12" customHeight="1">
      <c r="A281" s="105"/>
      <c r="F281" s="94"/>
      <c r="G281" s="94"/>
      <c r="H281" s="94"/>
      <c r="J281" s="54"/>
      <c r="K281" s="54"/>
      <c r="L281" s="54"/>
    </row>
    <row r="282" spans="1:12" ht="12" customHeight="1">
      <c r="A282" s="105"/>
      <c r="F282" s="94"/>
      <c r="G282" s="94"/>
      <c r="H282" s="94"/>
      <c r="J282" s="54"/>
      <c r="K282" s="54"/>
      <c r="L282" s="54"/>
    </row>
    <row r="283" spans="1:12" ht="12" customHeight="1">
      <c r="A283" s="105"/>
      <c r="F283" s="94"/>
      <c r="G283" s="94"/>
      <c r="H283" s="94"/>
      <c r="J283" s="54"/>
      <c r="K283" s="54"/>
      <c r="L283" s="54"/>
    </row>
    <row r="284" spans="1:12" ht="12" customHeight="1">
      <c r="A284" s="105"/>
      <c r="B284" s="103"/>
      <c r="F284" s="94"/>
      <c r="G284" s="94"/>
      <c r="H284" s="94"/>
      <c r="J284" s="54"/>
      <c r="K284" s="54"/>
      <c r="L284" s="54"/>
    </row>
    <row r="285" spans="1:12" ht="12" customHeight="1">
      <c r="A285" s="105"/>
      <c r="F285" s="94"/>
      <c r="G285" s="94"/>
      <c r="H285" s="94"/>
      <c r="J285" s="54"/>
      <c r="K285" s="54"/>
      <c r="L285" s="54"/>
    </row>
    <row r="286" spans="1:12" ht="12" customHeight="1">
      <c r="A286" s="105"/>
      <c r="F286" s="94"/>
      <c r="G286" s="94"/>
      <c r="H286" s="94"/>
      <c r="J286" s="54"/>
      <c r="K286" s="54"/>
      <c r="L286" s="54"/>
    </row>
    <row r="287" spans="1:12" ht="12" customHeight="1">
      <c r="A287" s="105"/>
      <c r="F287" s="94"/>
      <c r="G287" s="94"/>
      <c r="H287" s="94"/>
      <c r="J287" s="54"/>
      <c r="K287" s="54"/>
      <c r="L287" s="54"/>
    </row>
    <row r="288" spans="1:12" ht="12" customHeight="1">
      <c r="A288" s="105"/>
      <c r="F288" s="94"/>
      <c r="G288" s="94"/>
      <c r="H288" s="94"/>
      <c r="J288" s="54"/>
      <c r="K288" s="54"/>
      <c r="L288" s="54"/>
    </row>
    <row r="289" spans="1:12" ht="12" customHeight="1">
      <c r="A289" s="105"/>
      <c r="B289" s="103"/>
      <c r="F289" s="94"/>
      <c r="G289" s="94"/>
      <c r="H289" s="94"/>
      <c r="J289" s="54"/>
      <c r="K289" s="54"/>
      <c r="L289" s="54"/>
    </row>
    <row r="290" spans="1:12" ht="12" customHeight="1">
      <c r="A290" s="105"/>
      <c r="D290" s="108"/>
      <c r="E290" s="108"/>
      <c r="F290" s="54"/>
      <c r="G290" s="102"/>
      <c r="H290" s="94"/>
      <c r="J290" s="54"/>
      <c r="K290" s="54"/>
      <c r="L290" s="54"/>
    </row>
    <row r="291" spans="1:12" ht="12" customHeight="1">
      <c r="A291" s="105"/>
      <c r="D291" s="108"/>
      <c r="E291" s="108"/>
      <c r="F291" s="54"/>
      <c r="G291" s="102"/>
      <c r="H291" s="94"/>
      <c r="J291" s="54"/>
      <c r="K291" s="54"/>
      <c r="L291" s="54"/>
    </row>
    <row r="292" spans="1:12" ht="12" customHeight="1">
      <c r="A292" s="105"/>
      <c r="D292" s="108"/>
      <c r="E292" s="108"/>
      <c r="F292" s="54"/>
      <c r="G292" s="102"/>
      <c r="H292" s="94"/>
      <c r="J292" s="54"/>
      <c r="K292" s="54"/>
      <c r="L292" s="54"/>
    </row>
    <row r="293" spans="1:12" ht="12" customHeight="1">
      <c r="A293" s="105"/>
      <c r="D293" s="108"/>
      <c r="E293" s="108"/>
      <c r="F293" s="54"/>
      <c r="G293" s="102"/>
      <c r="H293" s="94"/>
      <c r="J293" s="54"/>
      <c r="K293" s="54"/>
      <c r="L293" s="54"/>
    </row>
    <row r="294" spans="1:12" ht="12" customHeight="1">
      <c r="A294" s="105"/>
      <c r="D294" s="108"/>
      <c r="E294" s="108"/>
      <c r="F294" s="54"/>
      <c r="G294" s="102"/>
      <c r="H294" s="94"/>
      <c r="J294" s="54"/>
      <c r="K294" s="54"/>
      <c r="L294" s="54"/>
    </row>
    <row r="295" spans="1:12" ht="12" customHeight="1">
      <c r="A295" s="105"/>
      <c r="D295" s="108"/>
      <c r="E295" s="108"/>
      <c r="F295" s="54"/>
      <c r="G295" s="102"/>
      <c r="H295" s="94"/>
      <c r="J295" s="54"/>
      <c r="K295" s="54"/>
      <c r="L295" s="54"/>
    </row>
    <row r="296" spans="1:12" ht="12" customHeight="1">
      <c r="A296" s="105"/>
      <c r="D296" s="108"/>
      <c r="E296" s="108"/>
      <c r="F296" s="54"/>
      <c r="G296" s="102"/>
      <c r="H296" s="94"/>
      <c r="J296" s="54"/>
      <c r="K296" s="54"/>
      <c r="L296" s="54"/>
    </row>
    <row r="297" spans="1:12" ht="12" customHeight="1">
      <c r="A297" s="105"/>
      <c r="D297" s="108"/>
      <c r="E297" s="108"/>
      <c r="F297" s="54"/>
      <c r="G297" s="102"/>
      <c r="H297" s="94"/>
      <c r="J297" s="54"/>
      <c r="K297" s="54"/>
      <c r="L297" s="54"/>
    </row>
    <row r="298" spans="1:12" ht="12" customHeight="1">
      <c r="A298" s="105"/>
      <c r="D298" s="108"/>
      <c r="E298" s="108"/>
      <c r="F298" s="54"/>
      <c r="G298" s="102"/>
      <c r="H298" s="94"/>
      <c r="J298" s="54"/>
      <c r="K298" s="54"/>
      <c r="L298" s="54"/>
    </row>
    <row r="299" spans="1:12" ht="12" customHeight="1">
      <c r="A299" s="105"/>
      <c r="D299" s="108"/>
      <c r="E299" s="108"/>
      <c r="F299" s="54"/>
      <c r="G299" s="102"/>
      <c r="H299" s="94"/>
      <c r="J299" s="54"/>
      <c r="K299" s="54"/>
      <c r="L299" s="54"/>
    </row>
    <row r="300" spans="1:12" ht="12" customHeight="1">
      <c r="A300" s="105"/>
      <c r="B300" s="103"/>
      <c r="D300" s="108"/>
      <c r="E300" s="108"/>
      <c r="F300" s="54"/>
      <c r="G300" s="102"/>
      <c r="H300" s="94"/>
      <c r="J300" s="54"/>
      <c r="K300" s="54"/>
      <c r="L300" s="54"/>
    </row>
    <row r="301" spans="1:12" ht="12" customHeight="1">
      <c r="A301" s="105"/>
      <c r="D301" s="108"/>
      <c r="E301" s="108"/>
      <c r="F301" s="54"/>
      <c r="G301" s="102"/>
      <c r="H301" s="94"/>
      <c r="J301" s="54"/>
      <c r="K301" s="54"/>
      <c r="L301" s="54"/>
    </row>
    <row r="302" spans="1:12" ht="12" customHeight="1">
      <c r="A302" s="105"/>
      <c r="D302" s="108"/>
      <c r="E302" s="108"/>
      <c r="F302" s="54"/>
      <c r="G302" s="102"/>
      <c r="H302" s="94"/>
      <c r="J302" s="54"/>
      <c r="K302" s="54"/>
      <c r="L302" s="54"/>
    </row>
    <row r="303" spans="1:12" ht="12" customHeight="1">
      <c r="A303" s="105"/>
      <c r="D303" s="108"/>
      <c r="E303" s="108"/>
      <c r="F303" s="54"/>
      <c r="G303" s="102"/>
      <c r="H303" s="94"/>
      <c r="J303" s="54"/>
      <c r="K303" s="54"/>
      <c r="L303" s="54"/>
    </row>
    <row r="304" spans="1:12" ht="12" customHeight="1">
      <c r="A304" s="105"/>
      <c r="F304" s="54"/>
      <c r="G304" s="102"/>
      <c r="H304" s="94"/>
      <c r="J304" s="54"/>
      <c r="K304" s="54"/>
      <c r="L304" s="54"/>
    </row>
    <row r="305" spans="1:12" ht="12" customHeight="1">
      <c r="A305" s="105"/>
      <c r="F305" s="54"/>
      <c r="G305" s="102"/>
      <c r="H305" s="94"/>
      <c r="J305" s="54"/>
      <c r="K305" s="54"/>
      <c r="L305" s="54"/>
    </row>
    <row r="306" spans="1:12" ht="12" customHeight="1">
      <c r="A306" s="105"/>
      <c r="F306" s="81"/>
      <c r="G306" s="81"/>
      <c r="H306" s="81"/>
      <c r="J306" s="54"/>
      <c r="K306" s="54"/>
      <c r="L306" s="54"/>
    </row>
    <row r="307" spans="1:12" ht="12" customHeight="1">
      <c r="A307" s="105"/>
      <c r="F307" s="94"/>
      <c r="G307" s="102"/>
      <c r="H307" s="94"/>
      <c r="J307" s="54"/>
      <c r="K307" s="54"/>
      <c r="L307" s="54"/>
    </row>
    <row r="308" spans="1:12" ht="12" customHeight="1">
      <c r="A308" s="105"/>
      <c r="F308" s="94"/>
      <c r="G308" s="94"/>
      <c r="H308" s="94"/>
      <c r="J308" s="54"/>
      <c r="K308" s="54"/>
      <c r="L308" s="54"/>
    </row>
    <row r="309" spans="1:12" ht="12" customHeight="1">
      <c r="A309" s="105"/>
      <c r="B309" s="103"/>
      <c r="F309" s="54"/>
      <c r="G309" s="104"/>
      <c r="H309" s="54"/>
      <c r="J309" s="54"/>
      <c r="K309" s="54"/>
      <c r="L309" s="54"/>
    </row>
    <row r="310" spans="1:12" ht="12" customHeight="1">
      <c r="A310" s="105"/>
      <c r="F310" s="81"/>
      <c r="G310" s="104"/>
      <c r="H310" s="54"/>
      <c r="J310" s="54"/>
      <c r="K310" s="54"/>
      <c r="L310" s="54"/>
    </row>
    <row r="311" spans="1:12" ht="12" customHeight="1">
      <c r="F311" s="81"/>
      <c r="G311" s="104"/>
      <c r="H311" s="81"/>
      <c r="J311" s="54"/>
      <c r="K311" s="54"/>
      <c r="L311" s="54"/>
    </row>
    <row r="312" spans="1:12" ht="12" customHeight="1">
      <c r="F312" s="94"/>
      <c r="G312" s="102"/>
      <c r="H312" s="94"/>
      <c r="J312" s="54"/>
      <c r="K312" s="104"/>
      <c r="L312" s="54"/>
    </row>
    <row r="313" spans="1:12" ht="12" customHeight="1">
      <c r="F313" s="94"/>
      <c r="G313" s="94"/>
      <c r="H313" s="94"/>
      <c r="J313" s="54"/>
      <c r="K313" s="54"/>
      <c r="L313" s="54"/>
    </row>
    <row r="314" spans="1:12" ht="12" customHeight="1">
      <c r="A314" s="72"/>
      <c r="F314" s="54"/>
      <c r="G314" s="104"/>
      <c r="H314" s="54"/>
      <c r="J314" s="54"/>
      <c r="K314" s="54"/>
      <c r="L314" s="54"/>
    </row>
    <row r="315" spans="1:12" ht="12" customHeight="1">
      <c r="A315" s="72"/>
      <c r="F315" s="54"/>
      <c r="G315" s="54"/>
      <c r="H315" s="54"/>
      <c r="J315" s="54"/>
      <c r="K315" s="54"/>
      <c r="L315" s="54"/>
    </row>
    <row r="316" spans="1:12" ht="12" customHeight="1">
      <c r="A316" s="72"/>
      <c r="F316" s="54"/>
      <c r="G316" s="54"/>
      <c r="H316" s="54"/>
      <c r="J316" s="54"/>
      <c r="K316" s="54"/>
      <c r="L316" s="54"/>
    </row>
    <row r="317" spans="1:12" ht="12" customHeight="1">
      <c r="A317" s="72"/>
      <c r="F317" s="54"/>
      <c r="G317" s="54"/>
      <c r="H317" s="54"/>
      <c r="J317" s="54"/>
      <c r="K317" s="54"/>
      <c r="L317" s="54"/>
    </row>
    <row r="318" spans="1:12" ht="12" customHeight="1">
      <c r="A318" s="72"/>
      <c r="F318" s="54"/>
      <c r="G318" s="54"/>
      <c r="H318" s="54"/>
      <c r="J318" s="54"/>
      <c r="K318" s="54"/>
      <c r="L318" s="54"/>
    </row>
    <row r="319" spans="1:12" ht="12" customHeight="1">
      <c r="A319" s="72"/>
      <c r="F319" s="54"/>
      <c r="G319" s="54"/>
      <c r="H319" s="54"/>
    </row>
    <row r="320" spans="1:12" ht="12" customHeight="1">
      <c r="A320" s="72"/>
      <c r="F320" s="54"/>
      <c r="G320" s="54"/>
      <c r="H320" s="54"/>
    </row>
    <row r="321" spans="1:8" ht="12" customHeight="1">
      <c r="A321" s="72"/>
      <c r="F321" s="54"/>
      <c r="G321" s="54"/>
      <c r="H321" s="54"/>
    </row>
    <row r="322" spans="1:8" ht="12" customHeight="1">
      <c r="A322" s="72"/>
      <c r="F322" s="54"/>
      <c r="G322" s="54"/>
      <c r="H322" s="54"/>
    </row>
    <row r="323" spans="1:8" ht="12" customHeight="1">
      <c r="F323" s="54"/>
      <c r="G323" s="54"/>
      <c r="H323" s="54"/>
    </row>
    <row r="324" spans="1:8" ht="12" customHeight="1">
      <c r="A324" s="72"/>
      <c r="F324" s="54"/>
      <c r="G324" s="54"/>
      <c r="H324" s="54"/>
    </row>
    <row r="325" spans="1:8" ht="12" customHeight="1">
      <c r="A325" s="72"/>
      <c r="F325" s="54"/>
      <c r="G325" s="54"/>
      <c r="H325" s="54"/>
    </row>
    <row r="326" spans="1:8" ht="12" customHeight="1">
      <c r="A326" s="72"/>
      <c r="F326" s="54"/>
      <c r="G326" s="54"/>
      <c r="H326" s="54"/>
    </row>
    <row r="327" spans="1:8" ht="12" customHeight="1">
      <c r="A327" s="72"/>
      <c r="F327" s="54"/>
      <c r="G327" s="54"/>
      <c r="H327" s="54"/>
    </row>
    <row r="328" spans="1:8" ht="12" customHeight="1">
      <c r="A328" s="72"/>
      <c r="F328" s="54"/>
      <c r="G328" s="54"/>
      <c r="H328" s="54"/>
    </row>
    <row r="329" spans="1:8" ht="12" customHeight="1">
      <c r="F329" s="54"/>
      <c r="G329" s="54"/>
      <c r="H329" s="54"/>
    </row>
    <row r="330" spans="1:8" ht="12" customHeight="1">
      <c r="F330" s="54"/>
      <c r="G330" s="54"/>
      <c r="H330" s="54"/>
    </row>
    <row r="331" spans="1:8" ht="12" customHeight="1">
      <c r="F331" s="54"/>
      <c r="G331" s="54"/>
      <c r="H331" s="54"/>
    </row>
    <row r="332" spans="1:8" ht="12" customHeight="1">
      <c r="F332" s="54"/>
      <c r="G332" s="54"/>
      <c r="H332" s="54"/>
    </row>
    <row r="333" spans="1:8" ht="12" customHeight="1">
      <c r="F333" s="54"/>
      <c r="G333" s="54"/>
      <c r="H333" s="54"/>
    </row>
    <row r="334" spans="1:8" ht="12" customHeight="1">
      <c r="F334" s="54"/>
      <c r="G334" s="54"/>
      <c r="H334" s="54"/>
    </row>
    <row r="335" spans="1:8" ht="12" customHeight="1">
      <c r="A335" s="72"/>
      <c r="F335" s="54"/>
      <c r="G335" s="54"/>
      <c r="H335" s="54"/>
    </row>
    <row r="336" spans="1:8" ht="12" customHeight="1">
      <c r="A336" s="72"/>
      <c r="F336" s="54"/>
      <c r="G336" s="54"/>
      <c r="H336" s="54"/>
    </row>
    <row r="337" spans="1:8" ht="12" customHeight="1">
      <c r="A337" s="72"/>
      <c r="F337" s="54"/>
      <c r="G337" s="54"/>
      <c r="H337" s="54"/>
    </row>
    <row r="338" spans="1:8" ht="12" customHeight="1">
      <c r="F338" s="54"/>
      <c r="G338" s="54"/>
      <c r="H338" s="54"/>
    </row>
    <row r="339" spans="1:8" s="54" customFormat="1" ht="12" customHeight="1">
      <c r="A339" s="109"/>
      <c r="B339" s="81"/>
    </row>
    <row r="340" spans="1:8" s="54" customFormat="1" ht="12" customHeight="1">
      <c r="A340" s="109"/>
      <c r="B340" s="81"/>
    </row>
    <row r="341" spans="1:8" s="54" customFormat="1" ht="12" customHeight="1">
      <c r="A341" s="109"/>
      <c r="B341" s="81"/>
    </row>
    <row r="342" spans="1:8" s="54" customFormat="1" ht="12" customHeight="1">
      <c r="A342" s="109"/>
      <c r="B342" s="81"/>
    </row>
    <row r="343" spans="1:8" s="54" customFormat="1" ht="12" customHeight="1">
      <c r="A343" s="109"/>
      <c r="B343" s="81"/>
    </row>
    <row r="344" spans="1:8" s="54" customFormat="1" ht="12" customHeight="1">
      <c r="A344" s="109"/>
      <c r="F344" s="78"/>
      <c r="G344" s="78"/>
      <c r="H344" s="110"/>
    </row>
    <row r="345" spans="1:8" s="54" customFormat="1" ht="12" customHeight="1">
      <c r="A345" s="109"/>
      <c r="F345" s="81"/>
      <c r="G345" s="81"/>
      <c r="H345" s="111"/>
    </row>
    <row r="346" spans="1:8" s="54" customFormat="1" ht="12" customHeight="1">
      <c r="A346" s="112"/>
    </row>
    <row r="347" spans="1:8" s="54" customFormat="1" ht="12" customHeight="1">
      <c r="A347" s="112"/>
    </row>
    <row r="348" spans="1:8" s="54" customFormat="1" ht="12" customHeight="1">
      <c r="A348" s="112"/>
    </row>
    <row r="349" spans="1:8" s="54" customFormat="1" ht="12" customHeight="1">
      <c r="A349" s="112"/>
    </row>
    <row r="350" spans="1:8" s="54" customFormat="1" ht="12" customHeight="1">
      <c r="A350" s="112"/>
    </row>
    <row r="351" spans="1:8" s="54" customFormat="1" ht="12" customHeight="1">
      <c r="A351" s="112"/>
    </row>
    <row r="352" spans="1:8" s="54" customFormat="1" ht="12" customHeight="1">
      <c r="A352" s="112"/>
    </row>
    <row r="353" spans="1:8" s="54" customFormat="1" ht="12" customHeight="1">
      <c r="A353" s="112"/>
    </row>
    <row r="354" spans="1:8" s="54" customFormat="1" ht="12" customHeight="1">
      <c r="A354" s="112"/>
    </row>
    <row r="355" spans="1:8" s="54" customFormat="1" ht="12" customHeight="1">
      <c r="A355" s="112"/>
    </row>
    <row r="356" spans="1:8" s="54" customFormat="1" ht="12" customHeight="1">
      <c r="A356" s="112"/>
    </row>
    <row r="357" spans="1:8" s="54" customFormat="1" ht="12" customHeight="1">
      <c r="A357" s="112"/>
    </row>
    <row r="358" spans="1:8" ht="12" customHeight="1">
      <c r="A358" s="72"/>
    </row>
    <row r="359" spans="1:8" ht="12" customHeight="1">
      <c r="A359" s="72"/>
    </row>
    <row r="360" spans="1:8" ht="12" customHeight="1">
      <c r="A360" s="72"/>
    </row>
    <row r="361" spans="1:8" ht="12" customHeight="1">
      <c r="A361" s="72"/>
    </row>
    <row r="362" spans="1:8" ht="12" customHeight="1">
      <c r="A362" s="72"/>
    </row>
    <row r="363" spans="1:8" ht="12" customHeight="1">
      <c r="A363" s="72"/>
    </row>
    <row r="364" spans="1:8" ht="12" customHeight="1">
      <c r="A364" s="72"/>
    </row>
    <row r="365" spans="1:8" ht="12" customHeight="1">
      <c r="A365" s="72"/>
    </row>
    <row r="366" spans="1:8" ht="12" customHeight="1">
      <c r="A366" s="72"/>
    </row>
    <row r="367" spans="1:8" ht="12" customHeight="1">
      <c r="F367" s="54"/>
      <c r="G367" s="54"/>
      <c r="H367" s="113"/>
    </row>
    <row r="368" spans="1:8" ht="12" customHeight="1">
      <c r="B368" s="103"/>
      <c r="F368" s="114"/>
      <c r="G368" s="114"/>
      <c r="H368" s="113"/>
    </row>
    <row r="369" spans="1:8" ht="12" customHeight="1">
      <c r="F369" s="114"/>
      <c r="G369" s="114"/>
      <c r="H369" s="113"/>
    </row>
    <row r="370" spans="1:8" ht="12" customHeight="1">
      <c r="A370" s="72"/>
      <c r="H370" s="113"/>
    </row>
    <row r="371" spans="1:8" ht="12" customHeight="1">
      <c r="A371" s="72"/>
      <c r="H371" s="113"/>
    </row>
    <row r="372" spans="1:8" ht="12" customHeight="1">
      <c r="A372" s="72"/>
      <c r="H372" s="113"/>
    </row>
    <row r="373" spans="1:8" ht="12" customHeight="1">
      <c r="A373" s="72"/>
      <c r="H373" s="113"/>
    </row>
    <row r="374" spans="1:8" ht="12" customHeight="1">
      <c r="D374" s="54"/>
      <c r="E374" s="54"/>
      <c r="F374" s="94"/>
      <c r="G374" s="94"/>
      <c r="H374" s="115"/>
    </row>
    <row r="375" spans="1:8" ht="12" customHeight="1">
      <c r="D375" s="54"/>
      <c r="E375" s="54"/>
      <c r="F375" s="106"/>
      <c r="G375" s="106"/>
      <c r="H375" s="54"/>
    </row>
    <row r="376" spans="1:8" ht="12" customHeight="1">
      <c r="D376" s="54"/>
      <c r="E376" s="54"/>
      <c r="F376" s="94"/>
      <c r="G376" s="94"/>
      <c r="H376" s="54"/>
    </row>
    <row r="377" spans="1:8" ht="12" customHeight="1">
      <c r="D377" s="54"/>
      <c r="E377" s="54"/>
      <c r="F377" s="54"/>
      <c r="G377" s="54"/>
      <c r="H377" s="54"/>
    </row>
    <row r="379" spans="1:8" ht="12" customHeight="1">
      <c r="A379" s="72"/>
      <c r="F379" s="54"/>
      <c r="G379" s="116"/>
    </row>
    <row r="380" spans="1:8" ht="12" customHeight="1">
      <c r="A380" s="72"/>
    </row>
    <row r="381" spans="1:8" ht="12" customHeight="1">
      <c r="A381" s="72"/>
    </row>
    <row r="382" spans="1:8" ht="12" customHeight="1">
      <c r="A382" s="72"/>
    </row>
    <row r="383" spans="1:8" ht="12" customHeight="1">
      <c r="A383" s="72"/>
    </row>
    <row r="384" spans="1:8" ht="12" customHeight="1">
      <c r="A384" s="72"/>
    </row>
  </sheetData>
  <pageMargins left="0.48" right="0.26" top="0.24" bottom="0.22" header="0.16" footer="0.16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19"/>
  <sheetViews>
    <sheetView zoomScale="115" zoomScaleNormal="115" workbookViewId="0">
      <selection activeCell="B15" sqref="B15"/>
    </sheetView>
  </sheetViews>
  <sheetFormatPr defaultRowHeight="13.5" customHeight="1"/>
  <cols>
    <col min="1" max="1" width="4.28515625" style="22" customWidth="1"/>
    <col min="2" max="2" width="42" style="22" customWidth="1"/>
    <col min="3" max="3" width="2" style="22" customWidth="1"/>
    <col min="4" max="4" width="13.85546875" style="22" customWidth="1"/>
    <col min="5" max="5" width="14.42578125" style="22" customWidth="1"/>
    <col min="6" max="6" width="1.85546875" style="22" customWidth="1"/>
    <col min="7" max="7" width="2.42578125" style="22" customWidth="1"/>
    <col min="8" max="12" width="9.140625" style="22"/>
    <col min="13" max="13" width="10" style="22" customWidth="1"/>
    <col min="14" max="16384" width="9.140625" style="22"/>
  </cols>
  <sheetData>
    <row r="2" spans="1:8" ht="13.5" customHeight="1">
      <c r="A2" s="58"/>
      <c r="B2" s="117" t="s">
        <v>28</v>
      </c>
      <c r="C2" s="13"/>
      <c r="D2" s="13"/>
      <c r="E2" s="13"/>
      <c r="F2" s="13"/>
      <c r="G2" s="13"/>
      <c r="H2" s="13"/>
    </row>
    <row r="3" spans="1:8" ht="13.5" customHeight="1">
      <c r="A3" s="58"/>
      <c r="B3" s="117" t="s">
        <v>29</v>
      </c>
      <c r="C3" s="13"/>
      <c r="D3" s="13"/>
      <c r="E3" s="13"/>
      <c r="F3" s="13"/>
      <c r="G3" s="13"/>
      <c r="H3" s="13"/>
    </row>
    <row r="4" spans="1:8" ht="13.5" customHeight="1">
      <c r="A4" s="58"/>
      <c r="B4" s="60"/>
      <c r="C4" s="13"/>
      <c r="D4" s="13"/>
      <c r="E4" s="13"/>
      <c r="F4" s="13"/>
      <c r="G4" s="13"/>
      <c r="H4" s="13"/>
    </row>
    <row r="5" spans="1:8" ht="13.5" customHeight="1">
      <c r="A5" s="58"/>
      <c r="B5" s="341" t="s">
        <v>77</v>
      </c>
      <c r="C5" s="13"/>
      <c r="D5" s="13"/>
      <c r="E5" s="13"/>
      <c r="F5" s="13"/>
      <c r="G5" s="13"/>
      <c r="H5" s="13"/>
    </row>
    <row r="6" spans="1:8" ht="13.5" customHeight="1">
      <c r="A6" s="58"/>
      <c r="B6" s="338" t="s">
        <v>213</v>
      </c>
      <c r="C6" s="13"/>
      <c r="D6" s="13"/>
      <c r="E6" s="13"/>
      <c r="F6" s="13"/>
      <c r="G6" s="13"/>
      <c r="H6" s="118"/>
    </row>
    <row r="7" spans="1:8" ht="13.5" customHeight="1">
      <c r="A7" s="58"/>
      <c r="B7" s="60"/>
      <c r="C7" s="58"/>
      <c r="D7" s="29" t="s">
        <v>214</v>
      </c>
      <c r="E7" s="29" t="s">
        <v>85</v>
      </c>
      <c r="F7" s="58"/>
      <c r="G7" s="58"/>
      <c r="H7" s="58"/>
    </row>
    <row r="8" spans="1:8" ht="13.5" customHeight="1">
      <c r="A8" s="58"/>
      <c r="B8" s="60"/>
      <c r="C8" s="58"/>
      <c r="D8" s="29" t="s">
        <v>49</v>
      </c>
      <c r="E8" s="29" t="s">
        <v>49</v>
      </c>
      <c r="F8" s="58"/>
      <c r="G8" s="58"/>
      <c r="H8" s="58"/>
    </row>
    <row r="9" spans="1:8" ht="13.5" customHeight="1">
      <c r="A9" s="58"/>
      <c r="B9" s="60"/>
      <c r="C9" s="58"/>
      <c r="D9" s="29" t="s">
        <v>212</v>
      </c>
      <c r="E9" s="29" t="s">
        <v>50</v>
      </c>
      <c r="F9" s="58"/>
      <c r="G9" s="58"/>
      <c r="H9" s="58"/>
    </row>
    <row r="10" spans="1:8" ht="13.5" customHeight="1">
      <c r="A10" s="58">
        <v>2</v>
      </c>
      <c r="B10" s="60" t="s">
        <v>76</v>
      </c>
      <c r="C10" s="173"/>
      <c r="D10" s="175" t="s">
        <v>0</v>
      </c>
      <c r="E10" s="175" t="s">
        <v>0</v>
      </c>
      <c r="F10" s="173"/>
      <c r="G10" s="58"/>
      <c r="H10" s="58"/>
    </row>
    <row r="11" spans="1:8" ht="13.5" customHeight="1">
      <c r="A11" s="58"/>
      <c r="B11" s="13" t="s">
        <v>69</v>
      </c>
      <c r="C11" s="62"/>
      <c r="D11" s="61">
        <f>TB!K17</f>
        <v>47593444.560000002</v>
      </c>
      <c r="E11" s="125">
        <v>80112530</v>
      </c>
      <c r="F11" s="119"/>
      <c r="G11" s="58"/>
      <c r="H11" s="58"/>
    </row>
    <row r="12" spans="1:8" ht="13.5" customHeight="1">
      <c r="A12" s="58"/>
      <c r="B12" s="13" t="s">
        <v>70</v>
      </c>
      <c r="C12" s="62"/>
      <c r="D12" s="63">
        <f>TB!K18</f>
        <v>108053402.39999998</v>
      </c>
      <c r="E12" s="126">
        <v>134507740</v>
      </c>
      <c r="F12" s="119"/>
      <c r="G12" s="58"/>
      <c r="H12" s="58"/>
    </row>
    <row r="13" spans="1:8" ht="13.5" customHeight="1">
      <c r="A13" s="58"/>
      <c r="B13" s="13"/>
      <c r="C13" s="62"/>
      <c r="D13" s="63">
        <f>SUM(D11:D12)</f>
        <v>155646846.95999998</v>
      </c>
      <c r="E13" s="126">
        <f>SUM(E11:E12)</f>
        <v>214620270</v>
      </c>
      <c r="F13" s="119"/>
      <c r="G13" s="58"/>
      <c r="H13" s="58"/>
    </row>
    <row r="14" spans="1:8" ht="13.5" customHeight="1">
      <c r="A14" s="58"/>
      <c r="B14" s="60"/>
      <c r="C14" s="62"/>
      <c r="D14" s="61"/>
      <c r="E14" s="120"/>
      <c r="F14" s="119"/>
      <c r="G14" s="58"/>
      <c r="H14" s="58"/>
    </row>
    <row r="15" spans="1:8" ht="13.5" customHeight="1">
      <c r="A15" s="58">
        <v>3</v>
      </c>
      <c r="B15" s="121" t="s">
        <v>75</v>
      </c>
      <c r="C15" s="62"/>
      <c r="D15" s="61"/>
      <c r="E15" s="120"/>
      <c r="F15" s="119"/>
      <c r="G15" s="58"/>
      <c r="H15" s="59"/>
    </row>
    <row r="16" spans="1:8" ht="13.5" customHeight="1">
      <c r="A16" s="58">
        <v>3.1</v>
      </c>
      <c r="B16" s="122" t="s">
        <v>35</v>
      </c>
      <c r="C16" s="120"/>
      <c r="D16" s="119"/>
      <c r="E16" s="120"/>
      <c r="F16" s="119"/>
      <c r="G16" s="58"/>
      <c r="H16" s="59"/>
    </row>
    <row r="17" spans="1:8" ht="13.5" customHeight="1">
      <c r="A17" s="58"/>
      <c r="B17" s="123" t="s">
        <v>36</v>
      </c>
      <c r="C17" s="64"/>
      <c r="D17" s="63">
        <f>TB!L10</f>
        <v>43413656.399999999</v>
      </c>
      <c r="E17" s="64">
        <v>81163852</v>
      </c>
      <c r="F17" s="64"/>
      <c r="G17" s="13"/>
      <c r="H17" s="13"/>
    </row>
    <row r="18" spans="1:8" ht="13.5" customHeight="1">
      <c r="A18" s="13"/>
      <c r="B18" s="124"/>
      <c r="C18" s="62"/>
      <c r="D18" s="61"/>
      <c r="E18" s="62"/>
      <c r="F18" s="62"/>
      <c r="G18" s="62"/>
      <c r="H18" s="62"/>
    </row>
    <row r="19" spans="1:8" ht="13.5" customHeight="1">
      <c r="A19" s="58"/>
      <c r="B19" s="124"/>
      <c r="C19" s="62"/>
      <c r="D19" s="61"/>
      <c r="E19" s="62"/>
      <c r="F19" s="62"/>
      <c r="G19" s="62"/>
      <c r="H19" s="62"/>
    </row>
    <row r="20" spans="1:8" ht="13.5" customHeight="1">
      <c r="A20" s="58">
        <v>3.2</v>
      </c>
      <c r="B20" s="122" t="s">
        <v>37</v>
      </c>
      <c r="C20" s="64"/>
      <c r="D20" s="63">
        <f>TB!L12</f>
        <v>38508150</v>
      </c>
      <c r="E20" s="64">
        <v>81634631</v>
      </c>
      <c r="F20" s="63"/>
      <c r="G20" s="62"/>
      <c r="H20" s="62"/>
    </row>
    <row r="21" spans="1:8" ht="13.5" customHeight="1">
      <c r="A21" s="58"/>
      <c r="B21" s="123" t="s">
        <v>36</v>
      </c>
      <c r="C21" s="62"/>
      <c r="D21" s="61"/>
      <c r="E21" s="62"/>
      <c r="F21" s="61"/>
      <c r="G21" s="62"/>
      <c r="H21" s="62"/>
    </row>
    <row r="22" spans="1:8" ht="13.5" customHeight="1">
      <c r="A22" s="58"/>
      <c r="B22" s="123"/>
      <c r="C22" s="62"/>
      <c r="D22" s="61"/>
      <c r="E22" s="331"/>
      <c r="F22" s="61"/>
      <c r="G22" s="62"/>
      <c r="H22" s="125"/>
    </row>
    <row r="23" spans="1:8" ht="13.5" customHeight="1">
      <c r="A23" s="58"/>
      <c r="B23" s="123"/>
      <c r="C23" s="62"/>
      <c r="D23" s="61"/>
      <c r="E23" s="331"/>
      <c r="F23" s="61"/>
      <c r="G23" s="62"/>
      <c r="H23" s="125"/>
    </row>
    <row r="24" spans="1:8" ht="13.5" customHeight="1">
      <c r="A24" s="58">
        <v>3.3</v>
      </c>
      <c r="B24" s="122" t="s">
        <v>38</v>
      </c>
      <c r="C24" s="62"/>
      <c r="D24" s="61"/>
      <c r="E24" s="331"/>
      <c r="F24" s="61"/>
      <c r="G24" s="62"/>
      <c r="H24" s="125"/>
    </row>
    <row r="25" spans="1:8" ht="13.5" customHeight="1">
      <c r="A25" s="58"/>
      <c r="B25" s="123" t="s">
        <v>36</v>
      </c>
      <c r="C25" s="64"/>
      <c r="D25" s="63">
        <f>TB!L14</f>
        <v>179704700</v>
      </c>
      <c r="E25" s="332">
        <v>163269157</v>
      </c>
      <c r="F25" s="63"/>
      <c r="G25" s="62"/>
      <c r="H25" s="125"/>
    </row>
    <row r="26" spans="1:8" ht="13.5" customHeight="1">
      <c r="A26" s="58"/>
      <c r="B26" s="123"/>
      <c r="C26" s="62"/>
      <c r="D26" s="61"/>
      <c r="E26" s="331"/>
      <c r="F26" s="61"/>
      <c r="G26" s="62"/>
      <c r="H26" s="125"/>
    </row>
    <row r="27" spans="1:8" ht="13.5" customHeight="1">
      <c r="A27" s="58"/>
      <c r="B27" s="123"/>
      <c r="C27" s="62"/>
      <c r="D27" s="61"/>
      <c r="E27" s="332"/>
      <c r="F27" s="63"/>
      <c r="G27" s="63"/>
      <c r="H27" s="126"/>
    </row>
    <row r="28" spans="1:8" ht="13.5" customHeight="1">
      <c r="A28" s="58"/>
      <c r="B28" s="122" t="s">
        <v>39</v>
      </c>
      <c r="C28" s="64"/>
      <c r="D28" s="63">
        <f>D17+D20+D25</f>
        <v>261626506.40000001</v>
      </c>
      <c r="E28" s="64">
        <f>E17+E20+E25</f>
        <v>326067640</v>
      </c>
      <c r="F28" s="63"/>
      <c r="G28" s="63"/>
      <c r="H28" s="63"/>
    </row>
    <row r="29" spans="1:8" ht="13.5" customHeight="1">
      <c r="A29" s="58"/>
      <c r="B29" s="122"/>
      <c r="C29" s="64"/>
      <c r="D29" s="63"/>
      <c r="E29" s="64"/>
      <c r="F29" s="63"/>
      <c r="G29" s="63"/>
      <c r="H29" s="63"/>
    </row>
    <row r="30" spans="1:8" ht="13.5" customHeight="1">
      <c r="A30" s="58">
        <v>3.4</v>
      </c>
      <c r="B30" s="122" t="s">
        <v>253</v>
      </c>
      <c r="C30" s="62"/>
      <c r="D30" s="65">
        <f>TB!L65</f>
        <v>108548006</v>
      </c>
      <c r="E30" s="64">
        <v>49976500</v>
      </c>
      <c r="F30" s="62"/>
      <c r="G30" s="62"/>
      <c r="H30" s="62"/>
    </row>
    <row r="31" spans="1:8" ht="13.5" customHeight="1">
      <c r="A31" s="13"/>
      <c r="B31" s="13"/>
      <c r="C31" s="62"/>
      <c r="D31" s="61"/>
      <c r="E31" s="62"/>
      <c r="F31" s="62"/>
      <c r="G31" s="62"/>
      <c r="H31" s="62"/>
    </row>
    <row r="32" spans="1:8" ht="13.5" customHeight="1">
      <c r="A32" s="58"/>
      <c r="B32" s="60"/>
      <c r="C32" s="63"/>
      <c r="D32" s="63">
        <f>D28+D30</f>
        <v>370174512.39999998</v>
      </c>
      <c r="E32" s="64">
        <f>E28+E30</f>
        <v>376044140</v>
      </c>
      <c r="F32" s="63"/>
      <c r="G32" s="62"/>
      <c r="H32" s="62"/>
    </row>
    <row r="33" spans="1:8" ht="13.5" customHeight="1">
      <c r="A33" s="13"/>
      <c r="B33" s="13"/>
      <c r="C33" s="62"/>
      <c r="D33" s="62"/>
      <c r="E33" s="62"/>
      <c r="F33" s="62"/>
      <c r="G33" s="62"/>
      <c r="H33" s="62"/>
    </row>
    <row r="34" spans="1:8" ht="13.5" customHeight="1">
      <c r="A34" s="58"/>
      <c r="B34" s="60"/>
      <c r="C34" s="62"/>
      <c r="D34" s="62"/>
      <c r="E34" s="62"/>
      <c r="F34" s="62"/>
      <c r="G34" s="62"/>
      <c r="H34" s="62"/>
    </row>
    <row r="35" spans="1:8" ht="13.5" customHeight="1">
      <c r="A35" s="58"/>
      <c r="B35" s="13"/>
      <c r="C35" s="62"/>
      <c r="D35" s="62"/>
      <c r="E35" s="63"/>
      <c r="F35" s="62"/>
      <c r="G35" s="13"/>
      <c r="H35" s="63"/>
    </row>
    <row r="36" spans="1:8" ht="13.5" customHeight="1">
      <c r="A36" s="58"/>
      <c r="B36" s="13"/>
      <c r="C36" s="62"/>
      <c r="D36" s="62"/>
      <c r="E36" s="62"/>
      <c r="F36" s="62"/>
      <c r="G36" s="62"/>
      <c r="H36" s="62"/>
    </row>
    <row r="37" spans="1:8" ht="13.5" customHeight="1">
      <c r="A37" s="58"/>
      <c r="B37" s="13"/>
      <c r="C37" s="62"/>
      <c r="D37" s="62"/>
      <c r="E37" s="62"/>
      <c r="F37" s="62"/>
      <c r="G37" s="62"/>
      <c r="H37" s="62"/>
    </row>
    <row r="38" spans="1:8" ht="13.5" customHeight="1">
      <c r="A38" s="58"/>
      <c r="B38" s="60"/>
      <c r="C38" s="62"/>
      <c r="D38" s="62"/>
      <c r="E38" s="63"/>
      <c r="F38" s="62"/>
      <c r="G38" s="62"/>
      <c r="H38" s="63"/>
    </row>
    <row r="39" spans="1:8" ht="13.5" customHeight="1">
      <c r="A39" s="58"/>
      <c r="B39" s="13"/>
      <c r="C39" s="62"/>
      <c r="D39" s="62"/>
      <c r="E39" s="63"/>
      <c r="F39" s="62"/>
      <c r="G39" s="13"/>
      <c r="H39" s="63"/>
    </row>
    <row r="40" spans="1:8" ht="13.5" customHeight="1">
      <c r="A40" s="58"/>
      <c r="B40" s="13"/>
      <c r="C40" s="62"/>
      <c r="D40" s="62"/>
      <c r="E40" s="63"/>
      <c r="F40" s="62"/>
      <c r="G40" s="62"/>
      <c r="H40" s="63"/>
    </row>
    <row r="41" spans="1:8" ht="13.5" customHeight="1">
      <c r="A41" s="58"/>
      <c r="B41" s="60"/>
      <c r="C41" s="62"/>
      <c r="D41" s="62"/>
      <c r="E41" s="63"/>
      <c r="F41" s="62"/>
      <c r="G41" s="13"/>
      <c r="H41" s="63"/>
    </row>
    <row r="42" spans="1:8" ht="13.5" customHeight="1">
      <c r="A42" s="58"/>
      <c r="B42" s="13"/>
      <c r="C42" s="62"/>
      <c r="D42" s="62"/>
      <c r="E42" s="63"/>
      <c r="F42" s="64"/>
      <c r="G42" s="127"/>
      <c r="H42" s="63"/>
    </row>
    <row r="43" spans="1:8" ht="13.5" customHeight="1">
      <c r="A43" s="58"/>
      <c r="B43" s="13"/>
      <c r="C43" s="62"/>
      <c r="D43" s="62"/>
      <c r="E43" s="63"/>
      <c r="F43" s="62"/>
      <c r="G43" s="13"/>
      <c r="H43" s="63"/>
    </row>
    <row r="44" spans="1:8" ht="13.5" customHeight="1">
      <c r="A44" s="13"/>
      <c r="B44" s="13"/>
      <c r="C44" s="62"/>
      <c r="D44" s="62"/>
      <c r="E44" s="63"/>
      <c r="F44" s="62"/>
      <c r="G44" s="13"/>
      <c r="H44" s="63"/>
    </row>
    <row r="45" spans="1:8" ht="13.5" customHeight="1">
      <c r="A45" s="58"/>
      <c r="B45" s="60"/>
      <c r="C45" s="62"/>
      <c r="D45" s="62"/>
      <c r="E45" s="63"/>
      <c r="F45" s="62"/>
      <c r="G45" s="13"/>
      <c r="H45" s="63"/>
    </row>
    <row r="46" spans="1:8" ht="13.5" customHeight="1">
      <c r="A46" s="58"/>
      <c r="B46" s="13"/>
      <c r="C46" s="62"/>
      <c r="D46" s="62"/>
      <c r="E46" s="63"/>
      <c r="F46" s="62"/>
      <c r="G46" s="62"/>
      <c r="H46" s="63"/>
    </row>
    <row r="47" spans="1:8" ht="13.5" customHeight="1">
      <c r="A47" s="58"/>
      <c r="B47" s="13"/>
      <c r="C47" s="62"/>
      <c r="D47" s="62"/>
      <c r="E47" s="63"/>
      <c r="F47" s="62"/>
      <c r="G47" s="62"/>
      <c r="H47" s="63"/>
    </row>
    <row r="48" spans="1:8" ht="13.5" customHeight="1">
      <c r="A48" s="13"/>
      <c r="B48" s="13"/>
      <c r="C48" s="62"/>
      <c r="D48" s="62"/>
      <c r="E48" s="63"/>
      <c r="F48" s="62"/>
      <c r="G48" s="13"/>
      <c r="H48" s="63"/>
    </row>
    <row r="49" spans="1:8" ht="13.5" customHeight="1">
      <c r="A49" s="58"/>
      <c r="B49" s="13"/>
      <c r="C49" s="62"/>
      <c r="D49" s="62"/>
      <c r="E49" s="63"/>
      <c r="F49" s="62"/>
      <c r="G49" s="13"/>
      <c r="H49" s="63"/>
    </row>
    <row r="50" spans="1:8" ht="13.5" customHeight="1">
      <c r="A50" s="128"/>
      <c r="B50" s="129"/>
      <c r="C50" s="130"/>
      <c r="D50" s="130"/>
      <c r="E50" s="130"/>
      <c r="F50" s="130"/>
    </row>
    <row r="51" spans="1:8" ht="13.5" customHeight="1">
      <c r="A51" s="128"/>
      <c r="B51" s="128"/>
      <c r="C51" s="130"/>
      <c r="D51" s="130"/>
      <c r="E51" s="130"/>
      <c r="F51" s="130"/>
    </row>
    <row r="52" spans="1:8" ht="13.5" customHeight="1">
      <c r="A52" s="128"/>
      <c r="B52" s="128"/>
      <c r="C52" s="130"/>
      <c r="D52" s="130"/>
      <c r="E52" s="130"/>
      <c r="F52" s="130"/>
    </row>
    <row r="53" spans="1:8" ht="13.5" customHeight="1">
      <c r="A53" s="128"/>
      <c r="B53" s="131"/>
      <c r="C53" s="131"/>
      <c r="D53" s="131"/>
      <c r="E53" s="131"/>
      <c r="F53" s="131"/>
    </row>
    <row r="54" spans="1:8" ht="13.5" customHeight="1">
      <c r="A54" s="128"/>
      <c r="B54" s="132"/>
      <c r="C54" s="131"/>
      <c r="D54" s="131"/>
      <c r="E54" s="131"/>
      <c r="F54" s="131"/>
    </row>
    <row r="55" spans="1:8" ht="13.5" customHeight="1">
      <c r="A55" s="128"/>
      <c r="B55" s="131"/>
      <c r="C55" s="131"/>
      <c r="D55" s="330">
        <v>16</v>
      </c>
      <c r="E55" s="131"/>
      <c r="F55" s="131"/>
    </row>
    <row r="56" spans="1:8" ht="13.5" customHeight="1">
      <c r="A56" s="128"/>
      <c r="B56" s="131"/>
      <c r="C56" s="131"/>
      <c r="D56" s="131"/>
      <c r="E56" s="131"/>
      <c r="F56" s="131"/>
    </row>
    <row r="57" spans="1:8" ht="13.5" customHeight="1">
      <c r="A57" s="128"/>
      <c r="B57" s="131"/>
      <c r="C57" s="131"/>
      <c r="D57" s="131"/>
      <c r="E57" s="131"/>
      <c r="F57" s="131"/>
    </row>
    <row r="58" spans="1:8" ht="13.5" customHeight="1">
      <c r="A58" s="128"/>
      <c r="B58" s="131"/>
      <c r="C58" s="131"/>
      <c r="D58" s="131"/>
      <c r="E58" s="131"/>
      <c r="F58" s="131"/>
    </row>
    <row r="59" spans="1:8" ht="13.5" customHeight="1">
      <c r="A59" s="128"/>
      <c r="B59" s="131"/>
      <c r="C59" s="131"/>
      <c r="D59" s="131"/>
      <c r="E59" s="131"/>
      <c r="F59" s="131"/>
    </row>
    <row r="60" spans="1:8" ht="13.5" customHeight="1">
      <c r="A60" s="131"/>
      <c r="B60" s="131"/>
      <c r="C60" s="131"/>
      <c r="D60" s="131"/>
      <c r="E60" s="131"/>
      <c r="F60" s="131"/>
    </row>
    <row r="61" spans="1:8" ht="13.5" customHeight="1">
      <c r="A61" s="131"/>
      <c r="B61" s="131"/>
      <c r="C61" s="131"/>
      <c r="D61" s="131"/>
      <c r="E61" s="131"/>
      <c r="F61" s="131"/>
    </row>
    <row r="62" spans="1:8" ht="13.5" customHeight="1">
      <c r="A62" s="131"/>
      <c r="B62" s="131"/>
      <c r="C62" s="131"/>
      <c r="D62" s="131"/>
      <c r="E62" s="131"/>
      <c r="F62" s="131"/>
      <c r="G62" s="133"/>
    </row>
    <row r="63" spans="1:8" ht="13.5" customHeight="1">
      <c r="A63" s="131"/>
      <c r="B63" s="131"/>
      <c r="C63" s="131"/>
      <c r="D63" s="131"/>
      <c r="E63" s="131"/>
      <c r="F63" s="131"/>
    </row>
    <row r="64" spans="1:8" ht="13.5" customHeight="1">
      <c r="A64" s="131"/>
      <c r="B64" s="131"/>
      <c r="C64" s="131"/>
      <c r="D64" s="131"/>
      <c r="E64" s="131"/>
      <c r="F64" s="131"/>
    </row>
    <row r="67" spans="1:6" ht="13.5" customHeight="1">
      <c r="A67" s="1"/>
      <c r="B67" s="134"/>
      <c r="C67" s="131"/>
      <c r="D67" s="131"/>
      <c r="E67" s="131"/>
      <c r="F67" s="131"/>
    </row>
    <row r="68" spans="1:6" ht="13.5" customHeight="1">
      <c r="A68" s="1"/>
      <c r="B68" s="134"/>
      <c r="C68" s="131"/>
      <c r="D68" s="131"/>
      <c r="E68" s="131"/>
      <c r="F68" s="131"/>
    </row>
    <row r="69" spans="1:6" ht="13.5" customHeight="1">
      <c r="A69" s="131"/>
      <c r="B69" s="131"/>
      <c r="C69" s="131"/>
      <c r="D69" s="131"/>
      <c r="E69" s="131"/>
      <c r="F69" s="131"/>
    </row>
    <row r="70" spans="1:6" ht="13.5" customHeight="1">
      <c r="A70" s="135"/>
      <c r="B70" s="131"/>
      <c r="C70" s="131"/>
      <c r="D70" s="131"/>
      <c r="E70" s="131"/>
      <c r="F70" s="131"/>
    </row>
    <row r="71" spans="1:6" ht="13.5" customHeight="1">
      <c r="A71" s="136"/>
      <c r="B71" s="131"/>
      <c r="C71" s="131"/>
      <c r="D71" s="131"/>
      <c r="E71" s="131"/>
      <c r="F71" s="131"/>
    </row>
    <row r="72" spans="1:6" ht="13.5" customHeight="1">
      <c r="A72" s="131"/>
      <c r="B72" s="131"/>
      <c r="C72" s="131"/>
      <c r="D72" s="131"/>
      <c r="E72" s="131"/>
      <c r="F72" s="131"/>
    </row>
    <row r="73" spans="1:6" ht="13.5" customHeight="1">
      <c r="A73" s="131"/>
      <c r="B73" s="131"/>
      <c r="C73" s="131"/>
      <c r="D73" s="131"/>
      <c r="E73" s="131"/>
      <c r="F73" s="131"/>
    </row>
    <row r="74" spans="1:6" ht="13.5" customHeight="1">
      <c r="A74" s="128"/>
      <c r="B74" s="137"/>
      <c r="C74" s="131"/>
      <c r="D74" s="131"/>
      <c r="E74" s="131"/>
      <c r="F74" s="131"/>
    </row>
    <row r="75" spans="1:6" ht="13.5" customHeight="1">
      <c r="A75" s="131"/>
      <c r="B75" s="131"/>
      <c r="C75" s="131"/>
      <c r="D75" s="131"/>
      <c r="E75" s="131"/>
      <c r="F75" s="131"/>
    </row>
    <row r="76" spans="1:6" ht="13.5" customHeight="1">
      <c r="A76" s="131"/>
      <c r="B76" s="131"/>
      <c r="C76" s="131"/>
      <c r="D76" s="131"/>
      <c r="E76" s="131"/>
      <c r="F76" s="131"/>
    </row>
    <row r="77" spans="1:6" ht="13.5" customHeight="1">
      <c r="A77" s="131"/>
      <c r="B77" s="131"/>
      <c r="C77" s="131"/>
      <c r="D77" s="131"/>
      <c r="E77" s="131"/>
      <c r="F77" s="131"/>
    </row>
    <row r="78" spans="1:6" ht="13.5" customHeight="1">
      <c r="A78" s="131"/>
      <c r="B78" s="131"/>
      <c r="C78" s="131"/>
      <c r="D78" s="131"/>
      <c r="E78" s="131"/>
      <c r="F78" s="131"/>
    </row>
    <row r="79" spans="1:6" ht="13.5" customHeight="1">
      <c r="A79" s="131"/>
      <c r="B79" s="131"/>
      <c r="C79" s="131"/>
      <c r="D79" s="131"/>
      <c r="E79" s="131"/>
      <c r="F79" s="131"/>
    </row>
    <row r="80" spans="1:6" ht="13.5" customHeight="1">
      <c r="A80" s="131"/>
      <c r="B80" s="131"/>
      <c r="C80" s="131"/>
      <c r="D80" s="131"/>
      <c r="E80" s="131"/>
      <c r="F80" s="131"/>
    </row>
    <row r="81" spans="1:6" ht="13.5" customHeight="1">
      <c r="A81" s="131"/>
      <c r="B81" s="131"/>
      <c r="C81" s="131"/>
      <c r="D81" s="131"/>
      <c r="E81" s="131"/>
      <c r="F81" s="131"/>
    </row>
    <row r="82" spans="1:6" ht="13.5" customHeight="1">
      <c r="A82" s="131"/>
      <c r="B82" s="131"/>
      <c r="C82" s="131"/>
      <c r="D82" s="131"/>
      <c r="E82" s="131"/>
      <c r="F82" s="131"/>
    </row>
    <row r="83" spans="1:6" ht="13.5" customHeight="1">
      <c r="B83" s="131"/>
      <c r="E83" s="131"/>
      <c r="F83" s="131"/>
    </row>
    <row r="84" spans="1:6" ht="13.5" customHeight="1">
      <c r="B84" s="131"/>
      <c r="E84" s="131"/>
      <c r="F84" s="131"/>
    </row>
    <row r="85" spans="1:6" ht="13.5" customHeight="1">
      <c r="B85" s="131"/>
      <c r="F85" s="131"/>
    </row>
    <row r="86" spans="1:6" ht="13.5" customHeight="1">
      <c r="B86" s="131"/>
      <c r="F86" s="131"/>
    </row>
    <row r="87" spans="1:6" ht="13.5" customHeight="1">
      <c r="B87" s="131"/>
      <c r="F87" s="131"/>
    </row>
    <row r="88" spans="1:6" ht="13.5" customHeight="1">
      <c r="B88" s="131"/>
      <c r="F88" s="131"/>
    </row>
    <row r="89" spans="1:6" ht="13.5" customHeight="1">
      <c r="B89" s="131"/>
      <c r="F89" s="131"/>
    </row>
    <row r="90" spans="1:6" ht="13.5" customHeight="1">
      <c r="B90" s="131"/>
      <c r="F90" s="131"/>
    </row>
    <row r="94" spans="1:6" ht="13.5" customHeight="1">
      <c r="A94" s="132"/>
      <c r="B94" s="132"/>
    </row>
    <row r="95" spans="1:6" ht="13.5" customHeight="1">
      <c r="B95" s="131"/>
    </row>
    <row r="99" spans="1:7" ht="13.5" customHeight="1">
      <c r="A99" s="132"/>
      <c r="B99" s="132"/>
      <c r="C99" s="132"/>
      <c r="D99" s="132"/>
      <c r="E99" s="132"/>
      <c r="F99" s="132"/>
      <c r="G99" s="132"/>
    </row>
    <row r="101" spans="1:7" ht="13.5" customHeight="1">
      <c r="B101" s="131"/>
    </row>
    <row r="102" spans="1:7" ht="13.5" customHeight="1">
      <c r="B102" s="138"/>
    </row>
    <row r="103" spans="1:7" ht="13.5" customHeight="1">
      <c r="B103" s="138"/>
    </row>
    <row r="104" spans="1:7" ht="13.5" customHeight="1">
      <c r="B104" s="131"/>
    </row>
    <row r="105" spans="1:7" ht="13.5" customHeight="1">
      <c r="B105" s="131"/>
    </row>
    <row r="106" spans="1:7" ht="13.5" customHeight="1">
      <c r="B106" s="131"/>
    </row>
    <row r="107" spans="1:7" ht="13.5" customHeight="1">
      <c r="B107" s="138"/>
    </row>
    <row r="111" spans="1:7" ht="13.5" customHeight="1">
      <c r="A111" s="132"/>
      <c r="B111" s="132"/>
    </row>
    <row r="112" spans="1:7" ht="13.5" customHeight="1">
      <c r="B112" s="131"/>
    </row>
    <row r="119" spans="7:7" ht="13.5" customHeight="1">
      <c r="G119" s="133"/>
    </row>
  </sheetData>
  <pageMargins left="0.16" right="0.21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G21" sqref="G21"/>
    </sheetView>
  </sheetViews>
  <sheetFormatPr defaultRowHeight="14.25" customHeight="1"/>
  <cols>
    <col min="1" max="2" width="9.140625" style="140"/>
    <col min="3" max="3" width="6.5703125" style="140" customWidth="1"/>
    <col min="4" max="4" width="14.42578125" style="140" customWidth="1"/>
    <col min="5" max="5" width="15" style="140" customWidth="1"/>
    <col min="6" max="6" width="3.5703125" style="140" customWidth="1"/>
    <col min="7" max="7" width="16.7109375" style="140" customWidth="1"/>
    <col min="8" max="8" width="17.28515625" style="140" customWidth="1"/>
    <col min="9" max="9" width="15.28515625" style="140" bestFit="1" customWidth="1"/>
    <col min="10" max="16384" width="9.140625" style="140"/>
  </cols>
  <sheetData>
    <row r="1" spans="1:9" ht="14.25" customHeight="1">
      <c r="A1" s="25" t="s">
        <v>28</v>
      </c>
      <c r="B1" s="139"/>
      <c r="C1" s="139"/>
      <c r="D1" s="139"/>
      <c r="E1" s="139"/>
      <c r="F1" s="139"/>
      <c r="G1" s="139"/>
      <c r="H1" s="139"/>
      <c r="I1" s="47"/>
    </row>
    <row r="2" spans="1:9" ht="14.25" customHeight="1">
      <c r="A2" s="25" t="s">
        <v>29</v>
      </c>
      <c r="B2" s="139"/>
      <c r="C2" s="139"/>
      <c r="D2" s="139"/>
      <c r="E2" s="139"/>
      <c r="F2" s="139"/>
      <c r="G2" s="139"/>
      <c r="H2" s="139"/>
      <c r="I2" s="47"/>
    </row>
    <row r="3" spans="1:9" ht="14.25" customHeight="1">
      <c r="A3" s="141"/>
      <c r="B3" s="139"/>
      <c r="C3" s="139"/>
      <c r="D3" s="139"/>
      <c r="E3" s="139"/>
      <c r="F3" s="47"/>
      <c r="G3" s="47"/>
      <c r="H3" s="47"/>
      <c r="I3" s="47"/>
    </row>
    <row r="4" spans="1:9" ht="14.25" customHeight="1">
      <c r="A4" s="333" t="s">
        <v>21</v>
      </c>
      <c r="B4" s="139"/>
      <c r="C4" s="139"/>
      <c r="D4" s="139"/>
      <c r="E4" s="139"/>
      <c r="F4" s="139"/>
      <c r="G4" s="139"/>
      <c r="H4" s="139"/>
      <c r="I4" s="47"/>
    </row>
    <row r="5" spans="1:9" ht="14.25" customHeight="1">
      <c r="A5" s="333" t="s">
        <v>213</v>
      </c>
      <c r="B5" s="139"/>
      <c r="C5" s="139"/>
      <c r="D5" s="139"/>
      <c r="E5" s="139"/>
      <c r="F5" s="139"/>
      <c r="G5" s="139"/>
      <c r="H5" s="139"/>
      <c r="I5" s="47"/>
    </row>
    <row r="6" spans="1:9" ht="14.25" customHeight="1">
      <c r="A6" s="334"/>
      <c r="B6" s="139"/>
      <c r="C6" s="139"/>
      <c r="D6" s="139"/>
      <c r="E6" s="139"/>
      <c r="F6" s="139"/>
      <c r="G6" s="139"/>
      <c r="H6" s="139"/>
      <c r="I6" s="47"/>
    </row>
    <row r="7" spans="1:9" ht="14.25" customHeight="1">
      <c r="A7" s="47"/>
      <c r="B7" s="47"/>
      <c r="C7" s="47"/>
      <c r="D7" s="47"/>
      <c r="E7" s="47"/>
      <c r="F7" s="47"/>
      <c r="G7" s="47"/>
      <c r="H7" s="47"/>
      <c r="I7" s="47"/>
    </row>
    <row r="8" spans="1:9" ht="14.25" customHeight="1">
      <c r="A8" s="139"/>
      <c r="B8" s="139"/>
      <c r="C8" s="139"/>
      <c r="D8" s="142" t="s">
        <v>1</v>
      </c>
      <c r="E8" s="142" t="s">
        <v>1</v>
      </c>
      <c r="F8" s="143"/>
      <c r="G8" s="172" t="s">
        <v>0</v>
      </c>
      <c r="H8" s="172" t="s">
        <v>0</v>
      </c>
      <c r="I8" s="47"/>
    </row>
    <row r="9" spans="1:9" ht="14.25" customHeight="1">
      <c r="A9" s="139"/>
      <c r="B9" s="139"/>
      <c r="C9" s="139"/>
      <c r="D9" s="144"/>
      <c r="E9" s="145"/>
      <c r="F9" s="146"/>
      <c r="G9" s="147"/>
      <c r="H9" s="147"/>
      <c r="I9" s="47"/>
    </row>
    <row r="10" spans="1:9" ht="14.25" customHeight="1">
      <c r="A10" s="139" t="s">
        <v>22</v>
      </c>
      <c r="B10" s="139"/>
      <c r="C10" s="139"/>
      <c r="D10" s="148"/>
      <c r="E10" s="149">
        <v>675154.85</v>
      </c>
      <c r="F10" s="146"/>
      <c r="G10" s="150"/>
      <c r="H10" s="151">
        <v>134507740</v>
      </c>
      <c r="I10" s="47"/>
    </row>
    <row r="11" spans="1:9" ht="14.25" customHeight="1">
      <c r="A11" s="141"/>
      <c r="B11" s="139"/>
      <c r="C11" s="139"/>
      <c r="D11" s="148"/>
      <c r="E11" s="149"/>
      <c r="F11" s="146"/>
      <c r="G11" s="150"/>
      <c r="H11" s="151"/>
      <c r="I11" s="47"/>
    </row>
    <row r="12" spans="1:9" ht="14.25" customHeight="1">
      <c r="A12" s="139" t="s">
        <v>23</v>
      </c>
      <c r="B12" s="139"/>
      <c r="C12" s="139"/>
      <c r="D12" s="148">
        <f>AJ!G63</f>
        <v>120593.49</v>
      </c>
      <c r="E12" s="148"/>
      <c r="F12" s="146"/>
      <c r="G12" s="150">
        <f>D12*360</f>
        <v>43413656.399999999</v>
      </c>
      <c r="H12" s="150"/>
      <c r="I12" s="47"/>
    </row>
    <row r="13" spans="1:9" ht="14.25" customHeight="1">
      <c r="A13" s="139" t="s">
        <v>24</v>
      </c>
      <c r="B13" s="139"/>
      <c r="C13" s="139"/>
      <c r="D13" s="152">
        <v>0</v>
      </c>
      <c r="E13" s="152"/>
      <c r="F13" s="146"/>
      <c r="G13" s="153">
        <v>0</v>
      </c>
      <c r="H13" s="153"/>
      <c r="I13" s="47"/>
    </row>
    <row r="14" spans="1:9" ht="14.25" customHeight="1">
      <c r="A14" s="139"/>
      <c r="B14" s="139"/>
      <c r="C14" s="139"/>
      <c r="D14" s="154"/>
      <c r="E14" s="155">
        <f>D12+D13</f>
        <v>120593.49</v>
      </c>
      <c r="F14" s="146"/>
      <c r="G14" s="156"/>
      <c r="H14" s="157">
        <f>G12+G13</f>
        <v>43413656.399999999</v>
      </c>
      <c r="I14" s="47"/>
    </row>
    <row r="15" spans="1:9" ht="14.25" customHeight="1">
      <c r="A15" s="139"/>
      <c r="B15" s="139"/>
      <c r="C15" s="139"/>
      <c r="D15" s="148"/>
      <c r="E15" s="149">
        <f>E10+E14</f>
        <v>795748.34</v>
      </c>
      <c r="F15" s="146"/>
      <c r="G15" s="150"/>
      <c r="H15" s="151">
        <f>H10+H14</f>
        <v>177921396.40000001</v>
      </c>
      <c r="I15" s="47"/>
    </row>
    <row r="16" spans="1:9" ht="14.25" customHeight="1">
      <c r="A16" s="139"/>
      <c r="B16" s="139"/>
      <c r="C16" s="139"/>
      <c r="D16" s="148"/>
      <c r="E16" s="158"/>
      <c r="F16" s="146"/>
      <c r="G16" s="150"/>
      <c r="H16" s="159"/>
      <c r="I16" s="47"/>
    </row>
    <row r="17" spans="1:9" ht="14.25" customHeight="1">
      <c r="A17" s="139" t="s">
        <v>102</v>
      </c>
      <c r="B17" s="139"/>
      <c r="C17" s="139"/>
      <c r="D17" s="148">
        <f>AJ!F74</f>
        <v>495600</v>
      </c>
      <c r="E17" s="158"/>
      <c r="F17" s="146"/>
      <c r="G17" s="150">
        <f>D17*360</f>
        <v>178416000</v>
      </c>
      <c r="H17" s="159"/>
      <c r="I17" s="47"/>
    </row>
    <row r="18" spans="1:9" ht="14.25" customHeight="1">
      <c r="A18" s="139" t="s">
        <v>25</v>
      </c>
      <c r="B18" s="139"/>
      <c r="C18" s="139"/>
      <c r="D18" s="152">
        <v>0</v>
      </c>
      <c r="E18" s="158"/>
      <c r="F18" s="146"/>
      <c r="G18" s="150">
        <v>0</v>
      </c>
      <c r="H18" s="159"/>
      <c r="I18" s="47"/>
    </row>
    <row r="19" spans="1:9" ht="14.25" customHeight="1">
      <c r="A19" s="139"/>
      <c r="B19" s="139"/>
      <c r="C19" s="139"/>
      <c r="D19" s="152"/>
      <c r="E19" s="158">
        <f>D17+D18</f>
        <v>495600</v>
      </c>
      <c r="F19" s="146"/>
      <c r="G19" s="153"/>
      <c r="H19" s="159">
        <f>G17+G18</f>
        <v>178416000</v>
      </c>
      <c r="I19" s="47"/>
    </row>
    <row r="20" spans="1:9" ht="14.25" customHeight="1">
      <c r="A20" s="139"/>
      <c r="B20" s="139"/>
      <c r="C20" s="139"/>
      <c r="D20" s="152"/>
      <c r="E20" s="158"/>
      <c r="F20" s="146"/>
      <c r="G20" s="153"/>
      <c r="H20" s="159"/>
      <c r="I20" s="47"/>
    </row>
    <row r="21" spans="1:9" ht="14.25" customHeight="1">
      <c r="A21" s="139"/>
      <c r="B21" s="139"/>
      <c r="C21" s="139"/>
      <c r="D21" s="152"/>
      <c r="E21" s="149"/>
      <c r="F21" s="146"/>
      <c r="G21" s="153"/>
      <c r="H21" s="151"/>
      <c r="I21" s="47"/>
    </row>
    <row r="22" spans="1:9" ht="14.25" customHeight="1">
      <c r="A22" s="139"/>
      <c r="B22" s="139"/>
      <c r="C22" s="139"/>
      <c r="D22" s="152"/>
      <c r="E22" s="158"/>
      <c r="F22" s="146"/>
      <c r="G22" s="153"/>
      <c r="H22" s="159">
        <f>H15-H19</f>
        <v>-494603.59999999404</v>
      </c>
      <c r="I22" s="47"/>
    </row>
    <row r="23" spans="1:9" ht="14.25" customHeight="1">
      <c r="A23" s="139" t="s">
        <v>26</v>
      </c>
      <c r="B23" s="139"/>
      <c r="C23" s="139"/>
      <c r="D23" s="152"/>
      <c r="E23" s="158">
        <v>0</v>
      </c>
      <c r="F23" s="146"/>
      <c r="G23" s="153"/>
      <c r="H23" s="151">
        <f>H25-H22</f>
        <v>108548005.99999999</v>
      </c>
      <c r="I23" s="47"/>
    </row>
    <row r="24" spans="1:9" ht="14.25" customHeight="1">
      <c r="A24" s="139"/>
      <c r="B24" s="139"/>
      <c r="C24" s="139"/>
      <c r="D24" s="152"/>
      <c r="E24" s="158"/>
      <c r="F24" s="146"/>
      <c r="G24" s="153"/>
      <c r="H24" s="159"/>
      <c r="I24" s="47"/>
    </row>
    <row r="25" spans="1:9" ht="14.25" customHeight="1">
      <c r="A25" s="139" t="s">
        <v>27</v>
      </c>
      <c r="B25" s="139"/>
      <c r="C25" s="139"/>
      <c r="D25" s="152"/>
      <c r="E25" s="160">
        <f>E15-E19</f>
        <v>300148.33999999997</v>
      </c>
      <c r="F25" s="161"/>
      <c r="G25" s="162">
        <v>360</v>
      </c>
      <c r="H25" s="163">
        <f>E25*G25</f>
        <v>108053402.39999999</v>
      </c>
      <c r="I25" s="164"/>
    </row>
    <row r="26" spans="1:9" ht="14.25" customHeight="1">
      <c r="A26" s="139"/>
      <c r="B26" s="139"/>
      <c r="C26" s="139"/>
      <c r="D26" s="165"/>
      <c r="E26" s="166"/>
      <c r="F26" s="146"/>
      <c r="G26" s="167"/>
      <c r="H26" s="168"/>
      <c r="I26" s="47"/>
    </row>
    <row r="27" spans="1:9" ht="14.25" customHeight="1">
      <c r="A27" s="47"/>
      <c r="B27" s="47"/>
      <c r="C27" s="47"/>
      <c r="D27" s="47"/>
      <c r="E27" s="47"/>
      <c r="F27" s="47"/>
      <c r="G27" s="169"/>
      <c r="H27" s="169"/>
      <c r="I27" s="47"/>
    </row>
    <row r="28" spans="1:9" ht="14.25" customHeight="1">
      <c r="A28" s="47" t="s">
        <v>286</v>
      </c>
      <c r="B28" s="47"/>
      <c r="C28" s="47"/>
      <c r="D28" s="47"/>
      <c r="E28" s="47"/>
      <c r="F28" s="47"/>
      <c r="G28" s="169"/>
      <c r="H28" s="169"/>
      <c r="I28" s="47"/>
    </row>
    <row r="29" spans="1:9" ht="14.25" customHeight="1">
      <c r="A29" s="47"/>
      <c r="B29" s="47"/>
      <c r="C29" s="47"/>
      <c r="D29" s="47"/>
      <c r="E29" s="47"/>
      <c r="F29" s="47"/>
      <c r="G29" s="169"/>
      <c r="H29" s="169"/>
      <c r="I29" s="47"/>
    </row>
    <row r="30" spans="1:9" ht="14.25" customHeight="1">
      <c r="A30" s="140" t="s">
        <v>249</v>
      </c>
      <c r="G30" s="170"/>
      <c r="H30" s="170"/>
    </row>
    <row r="31" spans="1:9" ht="14.25" customHeight="1">
      <c r="G31" s="170"/>
      <c r="H31" s="170"/>
    </row>
    <row r="32" spans="1:9" ht="14.25" customHeight="1">
      <c r="A32" s="140" t="s">
        <v>250</v>
      </c>
      <c r="G32" s="170"/>
      <c r="H32" s="170"/>
    </row>
    <row r="33" spans="1:8" ht="14.25" customHeight="1">
      <c r="G33" s="170"/>
      <c r="H33" s="170"/>
    </row>
    <row r="34" spans="1:8" ht="14.25" customHeight="1">
      <c r="A34" s="140" t="s">
        <v>135</v>
      </c>
    </row>
    <row r="35" spans="1:8" ht="14.25" customHeight="1">
      <c r="A35" s="140" t="s">
        <v>285</v>
      </c>
    </row>
    <row r="49" spans="5:8" ht="14.25" customHeight="1">
      <c r="H49" s="171"/>
    </row>
    <row r="50" spans="5:8" ht="14.25" customHeight="1">
      <c r="E50" s="140">
        <v>17</v>
      </c>
    </row>
  </sheetData>
  <pageMargins left="0.37" right="0.38" top="0.75" bottom="0.75" header="0.3" footer="0.3"/>
  <pageSetup paperSize="9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>
      <selection activeCell="G1" sqref="G1"/>
    </sheetView>
  </sheetViews>
  <sheetFormatPr defaultRowHeight="15"/>
  <cols>
    <col min="1" max="1" width="5.28515625" style="180" customWidth="1"/>
    <col min="2" max="2" width="9.140625" style="182"/>
    <col min="3" max="3" width="8.5703125" style="182" customWidth="1"/>
    <col min="4" max="4" width="6.140625" style="182" customWidth="1"/>
    <col min="5" max="5" width="9.140625" style="182"/>
    <col min="6" max="6" width="10" style="182" customWidth="1"/>
    <col min="7" max="7" width="29.42578125" style="182" customWidth="1"/>
    <col min="8" max="9" width="9.140625" style="182"/>
    <col min="10" max="10" width="14" style="182" bestFit="1" customWidth="1"/>
    <col min="11" max="16384" width="9.140625" style="182"/>
  </cols>
  <sheetData>
    <row r="1" spans="1:13" ht="15.75">
      <c r="B1" s="183" t="s">
        <v>28</v>
      </c>
    </row>
    <row r="2" spans="1:13" ht="15.75">
      <c r="B2" s="183" t="s">
        <v>29</v>
      </c>
    </row>
    <row r="4" spans="1:13">
      <c r="B4" s="342" t="s">
        <v>117</v>
      </c>
    </row>
    <row r="5" spans="1:13">
      <c r="B5" s="338" t="s">
        <v>213</v>
      </c>
    </row>
    <row r="7" spans="1:13">
      <c r="B7" s="184" t="s">
        <v>103</v>
      </c>
    </row>
    <row r="8" spans="1:13">
      <c r="B8" s="182" t="s">
        <v>104</v>
      </c>
    </row>
    <row r="9" spans="1:13">
      <c r="A9" s="181" t="s">
        <v>105</v>
      </c>
      <c r="B9" s="177" t="s">
        <v>118</v>
      </c>
      <c r="C9" s="177"/>
      <c r="D9" s="177" t="s">
        <v>106</v>
      </c>
      <c r="E9" s="177"/>
      <c r="F9" s="177"/>
      <c r="G9" s="177"/>
      <c r="H9" s="177"/>
      <c r="J9" s="177" t="s">
        <v>107</v>
      </c>
      <c r="K9" s="177"/>
      <c r="L9" s="177"/>
      <c r="M9" s="177"/>
    </row>
    <row r="10" spans="1:13" ht="16.5">
      <c r="A10" s="181"/>
      <c r="B10" s="178"/>
      <c r="C10" s="177"/>
      <c r="D10" s="177"/>
      <c r="E10" s="177"/>
      <c r="F10" s="177"/>
      <c r="G10" s="177"/>
      <c r="H10" s="179"/>
      <c r="I10" s="177"/>
      <c r="J10" s="179" t="s">
        <v>0</v>
      </c>
      <c r="K10" s="177"/>
      <c r="L10" s="177"/>
    </row>
    <row r="11" spans="1:13" ht="10.5" customHeight="1"/>
    <row r="12" spans="1:13" ht="17.25">
      <c r="A12" s="180">
        <v>1</v>
      </c>
      <c r="B12" s="186" t="s">
        <v>109</v>
      </c>
      <c r="C12" s="187"/>
      <c r="D12" s="187"/>
      <c r="E12" s="187"/>
      <c r="F12" s="187"/>
      <c r="G12" s="187"/>
    </row>
    <row r="13" spans="1:13">
      <c r="B13" s="182" t="s">
        <v>287</v>
      </c>
      <c r="D13" s="182" t="s">
        <v>108</v>
      </c>
      <c r="G13" s="182" t="s">
        <v>110</v>
      </c>
    </row>
    <row r="14" spans="1:13">
      <c r="G14" s="182" t="s">
        <v>111</v>
      </c>
    </row>
    <row r="15" spans="1:13">
      <c r="G15" s="182" t="s">
        <v>112</v>
      </c>
    </row>
    <row r="16" spans="1:13">
      <c r="G16" s="182" t="s">
        <v>113</v>
      </c>
    </row>
    <row r="17" spans="1:10">
      <c r="G17" s="182" t="s">
        <v>114</v>
      </c>
    </row>
    <row r="18" spans="1:10">
      <c r="G18" s="182" t="s">
        <v>115</v>
      </c>
      <c r="J18" s="185"/>
    </row>
    <row r="19" spans="1:10">
      <c r="B19" s="182" t="s">
        <v>192</v>
      </c>
      <c r="G19" s="182" t="s">
        <v>193</v>
      </c>
      <c r="J19" s="185">
        <v>16165147</v>
      </c>
    </row>
    <row r="20" spans="1:10">
      <c r="G20" s="182" t="s">
        <v>194</v>
      </c>
    </row>
    <row r="22" spans="1:10" ht="16.5">
      <c r="A22" s="180">
        <v>2</v>
      </c>
      <c r="B22" s="186" t="s">
        <v>179</v>
      </c>
    </row>
    <row r="23" spans="1:10">
      <c r="B23" s="182" t="s">
        <v>201</v>
      </c>
      <c r="D23" s="182" t="s">
        <v>195</v>
      </c>
      <c r="G23" s="182" t="s">
        <v>196</v>
      </c>
    </row>
    <row r="24" spans="1:10">
      <c r="G24" s="182" t="s">
        <v>197</v>
      </c>
    </row>
    <row r="25" spans="1:10">
      <c r="G25" s="182" t="s">
        <v>198</v>
      </c>
    </row>
    <row r="26" spans="1:10">
      <c r="G26" s="182">
        <v>18500000</v>
      </c>
      <c r="J26" s="185">
        <v>37800000</v>
      </c>
    </row>
    <row r="27" spans="1:10" ht="16.5">
      <c r="A27" s="180">
        <v>3</v>
      </c>
      <c r="B27" s="186" t="s">
        <v>275</v>
      </c>
    </row>
    <row r="28" spans="1:10">
      <c r="B28" s="185" t="s">
        <v>271</v>
      </c>
      <c r="D28" s="182" t="s">
        <v>202</v>
      </c>
    </row>
    <row r="29" spans="1:10" ht="16.5">
      <c r="B29" s="186"/>
      <c r="G29" s="182" t="s">
        <v>269</v>
      </c>
    </row>
    <row r="30" spans="1:10" ht="16.5">
      <c r="B30" s="186"/>
      <c r="G30" s="182" t="s">
        <v>270</v>
      </c>
      <c r="J30" s="185">
        <v>38448000</v>
      </c>
    </row>
    <row r="31" spans="1:10" ht="16.5">
      <c r="B31" s="186"/>
      <c r="J31" s="185"/>
    </row>
    <row r="32" spans="1:10" ht="16.5">
      <c r="B32" s="186"/>
      <c r="D32" s="182" t="s">
        <v>272</v>
      </c>
      <c r="G32" s="182" t="s">
        <v>273</v>
      </c>
      <c r="J32" s="185"/>
    </row>
    <row r="33" spans="1:10" ht="16.5">
      <c r="B33" s="186"/>
      <c r="G33" s="182" t="s">
        <v>274</v>
      </c>
      <c r="J33" s="185">
        <v>19800000</v>
      </c>
    </row>
    <row r="34" spans="1:10" ht="16.5">
      <c r="B34" s="186"/>
      <c r="J34" s="185"/>
    </row>
    <row r="35" spans="1:10" ht="16.5">
      <c r="B35" s="186"/>
      <c r="G35" s="347" t="s">
        <v>289</v>
      </c>
      <c r="J35" s="185"/>
    </row>
    <row r="36" spans="1:10" ht="16.5">
      <c r="B36" s="186"/>
      <c r="J36" s="185"/>
    </row>
    <row r="37" spans="1:10" ht="16.5">
      <c r="B37" s="186"/>
      <c r="J37" s="185"/>
    </row>
    <row r="38" spans="1:10" ht="16.5">
      <c r="B38" s="186" t="s">
        <v>199</v>
      </c>
    </row>
    <row r="39" spans="1:10">
      <c r="B39" s="182" t="s">
        <v>200</v>
      </c>
      <c r="D39" s="182" t="s">
        <v>202</v>
      </c>
      <c r="G39" s="182" t="s">
        <v>203</v>
      </c>
      <c r="J39" s="185"/>
    </row>
    <row r="40" spans="1:10">
      <c r="G40" s="182" t="s">
        <v>260</v>
      </c>
    </row>
    <row r="41" spans="1:10">
      <c r="G41" s="182" t="s">
        <v>204</v>
      </c>
      <c r="J41" s="182">
        <v>13950000</v>
      </c>
    </row>
    <row r="42" spans="1:10">
      <c r="B42" s="182" t="s">
        <v>259</v>
      </c>
      <c r="G42" s="182" t="s">
        <v>261</v>
      </c>
      <c r="J42" s="182">
        <v>9735000</v>
      </c>
    </row>
    <row r="43" spans="1:10" ht="16.5">
      <c r="B43" s="185"/>
      <c r="G43" s="182" t="s">
        <v>262</v>
      </c>
      <c r="J43" s="186">
        <f>SUM(J41:J42)</f>
        <v>23685000</v>
      </c>
    </row>
    <row r="44" spans="1:10">
      <c r="B44" s="182" t="s">
        <v>259</v>
      </c>
    </row>
    <row r="46" spans="1:10">
      <c r="A46" s="180">
        <v>4</v>
      </c>
      <c r="B46" s="182" t="s">
        <v>205</v>
      </c>
      <c r="D46" s="182" t="s">
        <v>206</v>
      </c>
      <c r="G46" s="182" t="s">
        <v>207</v>
      </c>
      <c r="J46" s="182">
        <v>480000</v>
      </c>
    </row>
    <row r="47" spans="1:10">
      <c r="G47" s="182" t="s">
        <v>208</v>
      </c>
      <c r="J47" s="182">
        <v>450000</v>
      </c>
    </row>
    <row r="48" spans="1:10" ht="17.25">
      <c r="G48" s="182" t="s">
        <v>209</v>
      </c>
      <c r="J48" s="187">
        <v>1000000</v>
      </c>
    </row>
    <row r="49" spans="2:10" ht="16.5">
      <c r="B49" s="186" t="s">
        <v>104</v>
      </c>
      <c r="J49" s="186">
        <f>SUM(J46:J48)</f>
        <v>1930000</v>
      </c>
    </row>
    <row r="50" spans="2:10">
      <c r="D50" s="182" t="s">
        <v>263</v>
      </c>
    </row>
    <row r="51" spans="2:10">
      <c r="G51" s="182" t="s">
        <v>265</v>
      </c>
    </row>
    <row r="52" spans="2:10" ht="16.5">
      <c r="G52" s="182" t="s">
        <v>264</v>
      </c>
      <c r="J52" s="186">
        <v>596000</v>
      </c>
    </row>
    <row r="55" spans="2:10" ht="16.5">
      <c r="B55" s="186" t="s">
        <v>184</v>
      </c>
    </row>
    <row r="56" spans="2:10">
      <c r="D56" s="182" t="s">
        <v>266</v>
      </c>
      <c r="G56" s="182" t="s">
        <v>267</v>
      </c>
    </row>
    <row r="57" spans="2:10" ht="16.5">
      <c r="G57" s="182" t="s">
        <v>268</v>
      </c>
      <c r="J57" s="186">
        <v>55000000</v>
      </c>
    </row>
    <row r="63" spans="2:10" ht="16.5">
      <c r="B63" s="185" t="s">
        <v>150</v>
      </c>
      <c r="J63" s="186">
        <f>J19+J26+J30+J33+J43+J49+J52+J57</f>
        <v>193424147</v>
      </c>
    </row>
    <row r="71" spans="7:7">
      <c r="G71" s="347" t="s">
        <v>288</v>
      </c>
    </row>
  </sheetData>
  <pageMargins left="0.7" right="0.7" top="0.69" bottom="0.3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42"/>
  <sheetViews>
    <sheetView topLeftCell="A14" workbookViewId="0">
      <selection activeCell="E17" sqref="E17"/>
    </sheetView>
  </sheetViews>
  <sheetFormatPr defaultRowHeight="15.75"/>
  <cols>
    <col min="1" max="1" width="11.5703125" style="189" customWidth="1"/>
    <col min="2" max="3" width="9.140625" style="189"/>
    <col min="4" max="4" width="18.5703125" style="189" customWidth="1"/>
    <col min="5" max="5" width="14" style="189" customWidth="1"/>
    <col min="6" max="6" width="15" style="189" customWidth="1"/>
    <col min="7" max="16384" width="9.140625" style="189"/>
  </cols>
  <sheetData>
    <row r="2" spans="1:6">
      <c r="A2" s="183" t="s">
        <v>28</v>
      </c>
    </row>
    <row r="3" spans="1:6">
      <c r="A3" s="183" t="s">
        <v>29</v>
      </c>
    </row>
    <row r="5" spans="1:6">
      <c r="A5" s="343" t="s">
        <v>119</v>
      </c>
    </row>
    <row r="6" spans="1:6">
      <c r="A6" s="344" t="s">
        <v>215</v>
      </c>
    </row>
    <row r="7" spans="1:6">
      <c r="A7" s="345"/>
      <c r="F7" s="190" t="s">
        <v>0</v>
      </c>
    </row>
    <row r="9" spans="1:6">
      <c r="A9" s="189" t="s">
        <v>283</v>
      </c>
      <c r="F9" s="191">
        <f>Analyses!P62</f>
        <v>80112250</v>
      </c>
    </row>
    <row r="12" spans="1:6">
      <c r="A12" s="191" t="s">
        <v>120</v>
      </c>
    </row>
    <row r="13" spans="1:6">
      <c r="A13" s="189" t="s">
        <v>278</v>
      </c>
      <c r="B13" s="189" t="s">
        <v>277</v>
      </c>
      <c r="E13" s="189">
        <v>100000000</v>
      </c>
    </row>
    <row r="14" spans="1:6">
      <c r="A14" s="189" t="s">
        <v>279</v>
      </c>
      <c r="B14" s="189" t="s">
        <v>276</v>
      </c>
      <c r="E14" s="189">
        <v>79704700</v>
      </c>
    </row>
    <row r="15" spans="1:6">
      <c r="A15" s="189" t="s">
        <v>282</v>
      </c>
      <c r="B15" s="189" t="s">
        <v>65</v>
      </c>
      <c r="E15" s="189">
        <v>38508150</v>
      </c>
    </row>
    <row r="16" spans="1:6">
      <c r="B16" s="189" t="s">
        <v>222</v>
      </c>
      <c r="E16" s="189">
        <f>Analyses!P67</f>
        <v>7750896</v>
      </c>
    </row>
    <row r="17" spans="1:6" ht="18">
      <c r="A17" s="189" t="s">
        <v>280</v>
      </c>
      <c r="B17" s="189" t="s">
        <v>281</v>
      </c>
      <c r="E17" s="192">
        <v>108000000</v>
      </c>
    </row>
    <row r="18" spans="1:6" ht="20.25">
      <c r="F18" s="193">
        <f>E13+E14+E15+E16+E17</f>
        <v>333963746</v>
      </c>
    </row>
    <row r="19" spans="1:6">
      <c r="F19" s="191">
        <f>F9+F18</f>
        <v>414075996</v>
      </c>
    </row>
    <row r="22" spans="1:6">
      <c r="A22" s="189" t="s">
        <v>121</v>
      </c>
      <c r="F22" s="191">
        <f>Analyses!P142</f>
        <v>366482831.44</v>
      </c>
    </row>
    <row r="24" spans="1:6" ht="18">
      <c r="A24" s="189" t="s">
        <v>122</v>
      </c>
      <c r="F24" s="194">
        <f>F19-F22</f>
        <v>47593164.560000002</v>
      </c>
    </row>
    <row r="28" spans="1:6" ht="18">
      <c r="A28" s="189" t="s">
        <v>123</v>
      </c>
      <c r="F28" s="194">
        <f>Analyses!P172</f>
        <v>47593165.549999997</v>
      </c>
    </row>
    <row r="33" spans="4:6" ht="18">
      <c r="E33" s="192"/>
    </row>
    <row r="34" spans="4:6" ht="20.25">
      <c r="F34" s="193"/>
    </row>
    <row r="36" spans="4:6" ht="18">
      <c r="F36" s="194"/>
    </row>
    <row r="42" spans="4:6">
      <c r="D42" s="189">
        <v>20</v>
      </c>
    </row>
  </sheetData>
  <pageMargins left="0.51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P188"/>
  <sheetViews>
    <sheetView topLeftCell="F1" workbookViewId="0">
      <selection activeCell="K1" sqref="K1"/>
    </sheetView>
  </sheetViews>
  <sheetFormatPr defaultRowHeight="15"/>
  <cols>
    <col min="1" max="1" width="2.5703125" customWidth="1"/>
    <col min="4" max="4" width="13.85546875" customWidth="1"/>
    <col min="5" max="5" width="15.28515625" customWidth="1"/>
    <col min="6" max="7" width="14.85546875" customWidth="1"/>
    <col min="8" max="8" width="13.85546875" customWidth="1"/>
    <col min="9" max="9" width="16" customWidth="1"/>
    <col min="10" max="10" width="15.28515625" customWidth="1"/>
    <col min="11" max="11" width="15.140625" customWidth="1"/>
    <col min="12" max="12" width="14.85546875" customWidth="1"/>
    <col min="13" max="13" width="15.85546875" customWidth="1"/>
    <col min="14" max="14" width="15.7109375" customWidth="1"/>
    <col min="15" max="15" width="16" customWidth="1"/>
    <col min="16" max="16" width="15.7109375" customWidth="1"/>
  </cols>
  <sheetData>
    <row r="5" spans="2:16" ht="15.75" thickBot="1"/>
    <row r="6" spans="2:16">
      <c r="B6" s="197" t="s">
        <v>136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</row>
    <row r="7" spans="2:16"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2"/>
    </row>
    <row r="8" spans="2:16">
      <c r="B8" s="203" t="s">
        <v>137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2"/>
    </row>
    <row r="9" spans="2:16">
      <c r="B9" s="200" t="s">
        <v>187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</row>
    <row r="10" spans="2:16">
      <c r="B10" s="200"/>
      <c r="C10" s="201"/>
      <c r="D10" s="204" t="s">
        <v>138</v>
      </c>
      <c r="E10" s="204" t="s">
        <v>139</v>
      </c>
      <c r="F10" s="204" t="s">
        <v>140</v>
      </c>
      <c r="G10" s="204" t="s">
        <v>141</v>
      </c>
      <c r="H10" s="204" t="s">
        <v>142</v>
      </c>
      <c r="I10" s="204" t="s">
        <v>143</v>
      </c>
      <c r="J10" s="204" t="s">
        <v>144</v>
      </c>
      <c r="K10" s="204" t="s">
        <v>145</v>
      </c>
      <c r="L10" s="204" t="s">
        <v>146</v>
      </c>
      <c r="M10" s="204" t="s">
        <v>147</v>
      </c>
      <c r="N10" s="204" t="s">
        <v>148</v>
      </c>
      <c r="O10" s="204" t="s">
        <v>149</v>
      </c>
      <c r="P10" s="205" t="s">
        <v>150</v>
      </c>
    </row>
    <row r="11" spans="2:16">
      <c r="B11" s="200"/>
      <c r="C11" s="201"/>
      <c r="D11" s="206" t="s">
        <v>1</v>
      </c>
      <c r="E11" s="206" t="s">
        <v>1</v>
      </c>
      <c r="F11" s="206" t="s">
        <v>1</v>
      </c>
      <c r="G11" s="206" t="s">
        <v>1</v>
      </c>
      <c r="H11" s="206" t="s">
        <v>1</v>
      </c>
      <c r="I11" s="206" t="s">
        <v>1</v>
      </c>
      <c r="J11" s="206" t="s">
        <v>1</v>
      </c>
      <c r="K11" s="206" t="s">
        <v>1</v>
      </c>
      <c r="L11" s="206" t="s">
        <v>1</v>
      </c>
      <c r="M11" s="206" t="s">
        <v>1</v>
      </c>
      <c r="N11" s="206" t="s">
        <v>1</v>
      </c>
      <c r="O11" s="206" t="s">
        <v>1</v>
      </c>
      <c r="P11" s="207" t="s">
        <v>1</v>
      </c>
    </row>
    <row r="12" spans="2:16" ht="15.75">
      <c r="B12" s="208" t="s">
        <v>151</v>
      </c>
      <c r="C12" s="209"/>
      <c r="D12" s="210">
        <v>675154.85</v>
      </c>
      <c r="E12" s="209"/>
      <c r="F12" s="209"/>
      <c r="G12" s="209"/>
      <c r="H12" s="211"/>
      <c r="I12" s="211"/>
      <c r="J12" s="211"/>
      <c r="K12" s="211"/>
      <c r="L12" s="211"/>
      <c r="M12" s="211"/>
      <c r="N12" s="211"/>
      <c r="O12" s="211"/>
      <c r="P12" s="212">
        <f>SUM(D12:O12)</f>
        <v>675154.85</v>
      </c>
    </row>
    <row r="13" spans="2:16" ht="15.75">
      <c r="B13" s="200" t="s">
        <v>152</v>
      </c>
      <c r="C13" s="209"/>
      <c r="D13" s="209"/>
      <c r="E13" s="209"/>
      <c r="F13" s="209"/>
      <c r="G13" s="210"/>
      <c r="H13" s="211"/>
      <c r="I13" s="211"/>
      <c r="J13" s="211">
        <v>120593.49</v>
      </c>
      <c r="K13" s="211"/>
      <c r="L13" s="211"/>
      <c r="M13" s="211"/>
      <c r="N13" s="211"/>
      <c r="O13" s="211"/>
      <c r="P13" s="212">
        <f>SUM(D13:O13)</f>
        <v>120593.49</v>
      </c>
    </row>
    <row r="14" spans="2:16" ht="15.75">
      <c r="B14" s="208"/>
      <c r="C14" s="209"/>
      <c r="D14" s="209"/>
      <c r="E14" s="209"/>
      <c r="F14" s="209"/>
      <c r="G14" s="209"/>
      <c r="H14" s="211"/>
      <c r="I14" s="211"/>
      <c r="J14" s="211"/>
      <c r="K14" s="211"/>
      <c r="L14" s="211"/>
      <c r="M14" s="211"/>
      <c r="N14" s="211"/>
      <c r="O14" s="211"/>
      <c r="P14" s="212">
        <f>SUM(D14:O14)</f>
        <v>0</v>
      </c>
    </row>
    <row r="15" spans="2:16" ht="16.5" thickBot="1">
      <c r="B15" s="213"/>
      <c r="C15" s="214"/>
      <c r="D15" s="214">
        <f>SUM(D12:D14)</f>
        <v>675154.85</v>
      </c>
      <c r="E15" s="214">
        <f t="shared" ref="E15:O15" si="0">SUM(E12:E14)</f>
        <v>0</v>
      </c>
      <c r="F15" s="214">
        <f t="shared" si="0"/>
        <v>0</v>
      </c>
      <c r="G15" s="214">
        <f t="shared" si="0"/>
        <v>0</v>
      </c>
      <c r="H15" s="214">
        <f t="shared" si="0"/>
        <v>0</v>
      </c>
      <c r="I15" s="214">
        <f t="shared" si="0"/>
        <v>0</v>
      </c>
      <c r="J15" s="214">
        <f t="shared" si="0"/>
        <v>120593.49</v>
      </c>
      <c r="K15" s="214">
        <f t="shared" si="0"/>
        <v>0</v>
      </c>
      <c r="L15" s="214">
        <f t="shared" si="0"/>
        <v>0</v>
      </c>
      <c r="M15" s="214">
        <f t="shared" si="0"/>
        <v>0</v>
      </c>
      <c r="N15" s="214">
        <f t="shared" si="0"/>
        <v>0</v>
      </c>
      <c r="O15" s="214">
        <f t="shared" si="0"/>
        <v>0</v>
      </c>
      <c r="P15" s="215">
        <f>SUM(P12:P14)</f>
        <v>795748.34</v>
      </c>
    </row>
    <row r="16" spans="2:16" ht="16.5" thickBot="1">
      <c r="B16" s="216"/>
      <c r="C16" s="217"/>
      <c r="D16" s="217"/>
      <c r="E16" s="217"/>
      <c r="F16" s="217"/>
      <c r="G16" s="217"/>
      <c r="H16" s="218"/>
      <c r="I16" s="218"/>
      <c r="J16" s="218"/>
      <c r="K16" s="218"/>
      <c r="L16" s="218"/>
      <c r="M16" s="218"/>
      <c r="N16" s="218"/>
      <c r="O16" s="218"/>
      <c r="P16" s="218"/>
    </row>
    <row r="17" spans="2:16">
      <c r="B17" s="197" t="s">
        <v>136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9"/>
    </row>
    <row r="18" spans="2:16"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2"/>
    </row>
    <row r="19" spans="2:16">
      <c r="B19" s="203" t="s">
        <v>153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2"/>
    </row>
    <row r="20" spans="2:16">
      <c r="B20" s="200" t="s">
        <v>187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2"/>
    </row>
    <row r="21" spans="2:16">
      <c r="B21" s="200"/>
      <c r="C21" s="201"/>
      <c r="D21" s="204" t="s">
        <v>138</v>
      </c>
      <c r="E21" s="204" t="s">
        <v>139</v>
      </c>
      <c r="F21" s="204" t="s">
        <v>140</v>
      </c>
      <c r="G21" s="204" t="s">
        <v>141</v>
      </c>
      <c r="H21" s="204" t="s">
        <v>142</v>
      </c>
      <c r="I21" s="204" t="s">
        <v>143</v>
      </c>
      <c r="J21" s="204" t="s">
        <v>144</v>
      </c>
      <c r="K21" s="204" t="s">
        <v>145</v>
      </c>
      <c r="L21" s="204" t="s">
        <v>146</v>
      </c>
      <c r="M21" s="204" t="s">
        <v>147</v>
      </c>
      <c r="N21" s="204" t="s">
        <v>148</v>
      </c>
      <c r="O21" s="204" t="s">
        <v>149</v>
      </c>
      <c r="P21" s="205" t="s">
        <v>150</v>
      </c>
    </row>
    <row r="22" spans="2:16">
      <c r="B22" s="200"/>
      <c r="C22" s="201"/>
      <c r="D22" s="206" t="s">
        <v>1</v>
      </c>
      <c r="E22" s="206" t="s">
        <v>1</v>
      </c>
      <c r="F22" s="206" t="s">
        <v>1</v>
      </c>
      <c r="G22" s="206" t="s">
        <v>1</v>
      </c>
      <c r="H22" s="206" t="s">
        <v>1</v>
      </c>
      <c r="I22" s="206" t="s">
        <v>1</v>
      </c>
      <c r="J22" s="206" t="s">
        <v>1</v>
      </c>
      <c r="K22" s="206" t="s">
        <v>1</v>
      </c>
      <c r="L22" s="206" t="s">
        <v>1</v>
      </c>
      <c r="M22" s="206" t="s">
        <v>1</v>
      </c>
      <c r="N22" s="206" t="s">
        <v>1</v>
      </c>
      <c r="O22" s="206" t="s">
        <v>1</v>
      </c>
      <c r="P22" s="207" t="s">
        <v>1</v>
      </c>
    </row>
    <row r="23" spans="2:16" ht="15.75">
      <c r="B23" s="208" t="s">
        <v>175</v>
      </c>
      <c r="C23" s="209"/>
      <c r="D23" s="219">
        <v>106800</v>
      </c>
      <c r="E23" s="219"/>
      <c r="F23" s="219"/>
      <c r="G23" s="219"/>
      <c r="H23" s="219"/>
      <c r="I23" s="219"/>
      <c r="J23" s="219"/>
      <c r="K23" s="211"/>
      <c r="L23" s="211">
        <v>17800</v>
      </c>
      <c r="M23" s="211"/>
      <c r="N23" s="211"/>
      <c r="O23" s="211"/>
      <c r="P23" s="212">
        <f>SUM(D23:O23)</f>
        <v>124600</v>
      </c>
    </row>
    <row r="24" spans="2:16" ht="15.75">
      <c r="B24" s="208" t="s">
        <v>174</v>
      </c>
      <c r="C24" s="209"/>
      <c r="D24" s="219"/>
      <c r="E24" s="219"/>
      <c r="F24" s="219"/>
      <c r="G24" s="219"/>
      <c r="H24" s="219"/>
      <c r="I24" s="219">
        <v>300000</v>
      </c>
      <c r="J24" s="219"/>
      <c r="K24" s="211"/>
      <c r="L24" s="211"/>
      <c r="M24" s="211"/>
      <c r="N24" s="211"/>
      <c r="O24" s="211"/>
      <c r="P24" s="212">
        <f>SUM(D24:O24)</f>
        <v>300000</v>
      </c>
    </row>
    <row r="25" spans="2:16" ht="15.75">
      <c r="B25" s="220" t="s">
        <v>176</v>
      </c>
      <c r="C25" s="221"/>
      <c r="D25" s="222"/>
      <c r="E25" s="222"/>
      <c r="F25" s="222"/>
      <c r="G25" s="222"/>
      <c r="H25" s="222"/>
      <c r="I25" s="222">
        <v>0</v>
      </c>
      <c r="J25" s="222"/>
      <c r="K25" s="222"/>
      <c r="L25" s="222">
        <v>16000</v>
      </c>
      <c r="M25" s="222"/>
      <c r="N25" s="222"/>
      <c r="O25" s="223">
        <v>55000</v>
      </c>
      <c r="P25" s="212">
        <f>SUM(D25:O25)</f>
        <v>71000</v>
      </c>
    </row>
    <row r="26" spans="2:16" ht="15.75">
      <c r="B26" s="224"/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3"/>
      <c r="P26" s="212">
        <f>SUM(D26:O26)</f>
        <v>0</v>
      </c>
    </row>
    <row r="27" spans="2:16" ht="16.5" thickBot="1">
      <c r="B27" s="213"/>
      <c r="C27" s="262" t="s">
        <v>116</v>
      </c>
      <c r="D27" s="214">
        <f>SUM(D23:D26)</f>
        <v>106800</v>
      </c>
      <c r="E27" s="214">
        <f t="shared" ref="E27:P27" si="1">SUM(E23:E26)</f>
        <v>0</v>
      </c>
      <c r="F27" s="214">
        <f t="shared" si="1"/>
        <v>0</v>
      </c>
      <c r="G27" s="214">
        <f t="shared" si="1"/>
        <v>0</v>
      </c>
      <c r="H27" s="214">
        <f t="shared" si="1"/>
        <v>0</v>
      </c>
      <c r="I27" s="214">
        <f t="shared" si="1"/>
        <v>300000</v>
      </c>
      <c r="J27" s="214">
        <f t="shared" si="1"/>
        <v>0</v>
      </c>
      <c r="K27" s="214">
        <f t="shared" si="1"/>
        <v>0</v>
      </c>
      <c r="L27" s="214">
        <f t="shared" si="1"/>
        <v>33800</v>
      </c>
      <c r="M27" s="214">
        <f t="shared" si="1"/>
        <v>0</v>
      </c>
      <c r="N27" s="214">
        <f t="shared" si="1"/>
        <v>0</v>
      </c>
      <c r="O27" s="214">
        <f t="shared" si="1"/>
        <v>55000</v>
      </c>
      <c r="P27" s="214">
        <f t="shared" si="1"/>
        <v>495600</v>
      </c>
    </row>
    <row r="28" spans="2:16" ht="15.75"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</row>
    <row r="29" spans="2:16" ht="15.75">
      <c r="B29" s="216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</row>
    <row r="30" spans="2:16" ht="16.5" thickBot="1">
      <c r="B30" s="216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</row>
    <row r="31" spans="2:16">
      <c r="B31" s="197" t="s">
        <v>136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9"/>
    </row>
    <row r="32" spans="2:16">
      <c r="B32" s="200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2"/>
    </row>
    <row r="33" spans="2:16">
      <c r="B33" s="203" t="s">
        <v>154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2"/>
    </row>
    <row r="34" spans="2:16">
      <c r="B34" s="200" t="s">
        <v>187</v>
      </c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2"/>
    </row>
    <row r="35" spans="2:16">
      <c r="B35" s="200"/>
      <c r="C35" s="201"/>
      <c r="D35" s="204" t="s">
        <v>138</v>
      </c>
      <c r="E35" s="204" t="s">
        <v>139</v>
      </c>
      <c r="F35" s="204" t="s">
        <v>140</v>
      </c>
      <c r="G35" s="204" t="s">
        <v>141</v>
      </c>
      <c r="H35" s="204" t="s">
        <v>142</v>
      </c>
      <c r="I35" s="204" t="s">
        <v>143</v>
      </c>
      <c r="J35" s="204" t="s">
        <v>144</v>
      </c>
      <c r="K35" s="204" t="s">
        <v>145</v>
      </c>
      <c r="L35" s="204" t="s">
        <v>146</v>
      </c>
      <c r="M35" s="204" t="s">
        <v>147</v>
      </c>
      <c r="N35" s="204" t="s">
        <v>148</v>
      </c>
      <c r="O35" s="204" t="s">
        <v>149</v>
      </c>
      <c r="P35" s="205" t="s">
        <v>150</v>
      </c>
    </row>
    <row r="36" spans="2:16">
      <c r="B36" s="200"/>
      <c r="C36" s="201"/>
      <c r="D36" s="206" t="s">
        <v>1</v>
      </c>
      <c r="E36" s="206" t="s">
        <v>1</v>
      </c>
      <c r="F36" s="206" t="s">
        <v>1</v>
      </c>
      <c r="G36" s="206" t="s">
        <v>1</v>
      </c>
      <c r="H36" s="206" t="s">
        <v>1</v>
      </c>
      <c r="I36" s="206" t="s">
        <v>1</v>
      </c>
      <c r="J36" s="206" t="s">
        <v>1</v>
      </c>
      <c r="K36" s="206" t="s">
        <v>1</v>
      </c>
      <c r="L36" s="206" t="s">
        <v>1</v>
      </c>
      <c r="M36" s="206" t="s">
        <v>1</v>
      </c>
      <c r="N36" s="206" t="s">
        <v>1</v>
      </c>
      <c r="O36" s="206" t="s">
        <v>1</v>
      </c>
      <c r="P36" s="207" t="s">
        <v>1</v>
      </c>
    </row>
    <row r="37" spans="2:16" ht="15.75">
      <c r="B37" s="208" t="s">
        <v>155</v>
      </c>
      <c r="C37" s="209"/>
      <c r="D37" s="219">
        <f>D15</f>
        <v>675154.85</v>
      </c>
      <c r="E37" s="219">
        <f>D45</f>
        <v>568354.85</v>
      </c>
      <c r="F37" s="219"/>
      <c r="G37" s="219"/>
      <c r="H37" s="219"/>
      <c r="I37" s="219"/>
      <c r="J37" s="219"/>
      <c r="K37" s="211"/>
      <c r="L37" s="211"/>
      <c r="M37" s="211"/>
      <c r="N37" s="211"/>
      <c r="O37" s="211"/>
      <c r="P37" s="212">
        <f>P12</f>
        <v>675154.85</v>
      </c>
    </row>
    <row r="38" spans="2:16" ht="15.75">
      <c r="B38" s="208"/>
      <c r="C38" s="209"/>
      <c r="D38" s="219"/>
      <c r="E38" s="219"/>
      <c r="F38" s="219"/>
      <c r="G38" s="219"/>
      <c r="H38" s="219"/>
      <c r="I38" s="219"/>
      <c r="J38" s="219"/>
      <c r="K38" s="211"/>
      <c r="L38" s="211"/>
      <c r="M38" s="211"/>
      <c r="N38" s="211"/>
      <c r="O38" s="211"/>
      <c r="P38" s="212"/>
    </row>
    <row r="39" spans="2:16" ht="15.75">
      <c r="B39" s="208"/>
      <c r="C39" s="209"/>
      <c r="D39" s="219"/>
      <c r="E39" s="219"/>
      <c r="F39" s="219"/>
      <c r="G39" s="219"/>
      <c r="H39" s="219"/>
      <c r="I39" s="219"/>
      <c r="J39" s="219"/>
      <c r="K39" s="211"/>
      <c r="L39" s="211"/>
      <c r="M39" s="211"/>
      <c r="N39" s="211"/>
      <c r="O39" s="211"/>
      <c r="P39" s="212"/>
    </row>
    <row r="40" spans="2:16" ht="15.75">
      <c r="B40" s="208" t="s">
        <v>156</v>
      </c>
      <c r="C40" s="209"/>
      <c r="D40" s="219">
        <v>0</v>
      </c>
      <c r="E40" s="219"/>
      <c r="F40" s="219"/>
      <c r="G40" s="219"/>
      <c r="H40" s="219"/>
      <c r="I40" s="219"/>
      <c r="J40" s="219"/>
      <c r="K40" s="211"/>
      <c r="L40" s="211"/>
      <c r="M40" s="211"/>
      <c r="N40" s="211"/>
      <c r="O40" s="211"/>
      <c r="P40" s="212">
        <f>P13</f>
        <v>120593.49</v>
      </c>
    </row>
    <row r="41" spans="2:16" ht="15.75">
      <c r="B41" s="208"/>
      <c r="C41" s="209"/>
      <c r="D41" s="219">
        <f>D37+D40</f>
        <v>675154.85</v>
      </c>
      <c r="E41" s="219"/>
      <c r="F41" s="219"/>
      <c r="G41" s="219"/>
      <c r="H41" s="219"/>
      <c r="I41" s="219"/>
      <c r="J41" s="219"/>
      <c r="K41" s="211"/>
      <c r="L41" s="211"/>
      <c r="M41" s="211"/>
      <c r="N41" s="211"/>
      <c r="O41" s="211"/>
      <c r="P41" s="212">
        <f>P37+P40</f>
        <v>795748.34</v>
      </c>
    </row>
    <row r="42" spans="2:16" ht="15.75">
      <c r="B42" s="224" t="s">
        <v>157</v>
      </c>
      <c r="C42" s="221"/>
      <c r="D42" s="222">
        <f>D27</f>
        <v>106800</v>
      </c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3"/>
      <c r="P42" s="212">
        <f>P27</f>
        <v>495600</v>
      </c>
    </row>
    <row r="43" spans="2:16" ht="15.75">
      <c r="B43" s="224"/>
      <c r="C43" s="221"/>
      <c r="D43" s="222">
        <f>D41-D42</f>
        <v>568354.85</v>
      </c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3"/>
      <c r="P43" s="225">
        <f>P41-P42</f>
        <v>300148.33999999997</v>
      </c>
    </row>
    <row r="44" spans="2:16" ht="15.75">
      <c r="B44" s="224"/>
      <c r="C44" s="221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3"/>
      <c r="P44" s="225"/>
    </row>
    <row r="45" spans="2:16" ht="16.5" thickBot="1">
      <c r="B45" s="213" t="s">
        <v>158</v>
      </c>
      <c r="C45" s="214"/>
      <c r="D45" s="214">
        <v>568354.85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>
        <v>300148.34000000003</v>
      </c>
    </row>
    <row r="46" spans="2:16" ht="15.75"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</row>
    <row r="47" spans="2:16" ht="15.75">
      <c r="B47" s="216"/>
      <c r="C47" s="217"/>
      <c r="D47" s="217">
        <f>D43-D45</f>
        <v>0</v>
      </c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>
        <f>P43-P45</f>
        <v>0</v>
      </c>
    </row>
    <row r="48" spans="2:16" ht="15.75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</row>
    <row r="49" spans="2:16" ht="15.75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</row>
    <row r="50" spans="2:16" ht="15.75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</row>
    <row r="51" spans="2:16" ht="15.75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</row>
    <row r="52" spans="2:16" ht="15.75"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</row>
    <row r="53" spans="2:16" ht="15.75"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</row>
    <row r="54" spans="2:16" ht="15.75">
      <c r="B54" s="217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</row>
    <row r="55" spans="2:16" ht="16.5" thickBot="1">
      <c r="B55" s="217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</row>
    <row r="56" spans="2:16">
      <c r="B56" s="197" t="s">
        <v>136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7"/>
    </row>
    <row r="57" spans="2:16">
      <c r="B57" s="228" t="s">
        <v>284</v>
      </c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5"/>
    </row>
    <row r="58" spans="2:16">
      <c r="B58" s="228" t="s">
        <v>187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5"/>
    </row>
    <row r="59" spans="2:16">
      <c r="B59" s="200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2"/>
    </row>
    <row r="60" spans="2:16">
      <c r="B60" s="228"/>
      <c r="C60" s="211"/>
      <c r="D60" s="204" t="s">
        <v>138</v>
      </c>
      <c r="E60" s="204" t="s">
        <v>139</v>
      </c>
      <c r="F60" s="204" t="s">
        <v>140</v>
      </c>
      <c r="G60" s="204" t="s">
        <v>141</v>
      </c>
      <c r="H60" s="204" t="s">
        <v>142</v>
      </c>
      <c r="I60" s="204" t="s">
        <v>143</v>
      </c>
      <c r="J60" s="204" t="s">
        <v>144</v>
      </c>
      <c r="K60" s="204" t="s">
        <v>145</v>
      </c>
      <c r="L60" s="204" t="s">
        <v>146</v>
      </c>
      <c r="M60" s="204" t="s">
        <v>147</v>
      </c>
      <c r="N60" s="204" t="s">
        <v>148</v>
      </c>
      <c r="O60" s="204" t="s">
        <v>149</v>
      </c>
      <c r="P60" s="205" t="s">
        <v>150</v>
      </c>
    </row>
    <row r="61" spans="2:16">
      <c r="B61" s="228"/>
      <c r="C61" s="211"/>
      <c r="D61" s="229" t="s">
        <v>0</v>
      </c>
      <c r="E61" s="229" t="s">
        <v>0</v>
      </c>
      <c r="F61" s="229" t="s">
        <v>0</v>
      </c>
      <c r="G61" s="229" t="s">
        <v>0</v>
      </c>
      <c r="H61" s="229" t="s">
        <v>0</v>
      </c>
      <c r="I61" s="229" t="s">
        <v>0</v>
      </c>
      <c r="J61" s="229" t="s">
        <v>0</v>
      </c>
      <c r="K61" s="229" t="s">
        <v>0</v>
      </c>
      <c r="L61" s="229" t="s">
        <v>0</v>
      </c>
      <c r="M61" s="229" t="s">
        <v>0</v>
      </c>
      <c r="N61" s="229" t="s">
        <v>0</v>
      </c>
      <c r="O61" s="229" t="s">
        <v>0</v>
      </c>
      <c r="P61" s="230" t="s">
        <v>0</v>
      </c>
    </row>
    <row r="62" spans="2:16">
      <c r="B62" s="231" t="s">
        <v>151</v>
      </c>
      <c r="C62" s="211"/>
      <c r="D62" s="232">
        <v>80112250</v>
      </c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3">
        <f t="shared" ref="P62:P68" si="2">SUM(D62:O62)</f>
        <v>80112250</v>
      </c>
    </row>
    <row r="63" spans="2:16">
      <c r="B63" s="247" t="s">
        <v>243</v>
      </c>
      <c r="C63" s="211"/>
      <c r="D63" s="229"/>
      <c r="E63" s="232">
        <v>100000000</v>
      </c>
      <c r="F63" s="232"/>
      <c r="G63" s="232"/>
      <c r="H63" s="232"/>
      <c r="I63" s="232"/>
      <c r="J63" s="232">
        <v>79704700</v>
      </c>
      <c r="K63" s="232"/>
      <c r="L63" s="232"/>
      <c r="M63" s="232"/>
      <c r="N63" s="232"/>
      <c r="O63" s="232"/>
      <c r="P63" s="233">
        <f t="shared" si="2"/>
        <v>179704700</v>
      </c>
    </row>
    <row r="64" spans="2:16">
      <c r="B64" s="231" t="s">
        <v>173</v>
      </c>
      <c r="C64" s="211"/>
      <c r="D64" s="211"/>
      <c r="E64" s="211"/>
      <c r="F64" s="211"/>
      <c r="G64" s="211"/>
      <c r="H64" s="211"/>
      <c r="I64" s="211">
        <v>108000000</v>
      </c>
      <c r="J64" s="211"/>
      <c r="K64" s="211"/>
      <c r="L64" s="211"/>
      <c r="M64" s="211"/>
      <c r="N64" s="211"/>
      <c r="O64" s="211"/>
      <c r="P64" s="233">
        <f t="shared" si="2"/>
        <v>108000000</v>
      </c>
    </row>
    <row r="65" spans="2:16">
      <c r="B65" s="231" t="s">
        <v>152</v>
      </c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33">
        <f t="shared" si="2"/>
        <v>0</v>
      </c>
    </row>
    <row r="66" spans="2:16">
      <c r="B66" s="231" t="s">
        <v>172</v>
      </c>
      <c r="C66" s="211"/>
      <c r="D66" s="234"/>
      <c r="E66" s="234"/>
      <c r="F66" s="211"/>
      <c r="G66" s="211"/>
      <c r="H66" s="211"/>
      <c r="I66" s="211"/>
      <c r="J66" s="211">
        <v>38508150</v>
      </c>
      <c r="K66" s="211"/>
      <c r="L66" s="211"/>
      <c r="M66" s="211"/>
      <c r="N66" s="211"/>
      <c r="O66" s="211"/>
      <c r="P66" s="233">
        <f t="shared" si="2"/>
        <v>38508150</v>
      </c>
    </row>
    <row r="67" spans="2:16">
      <c r="B67" s="266" t="s">
        <v>190</v>
      </c>
      <c r="C67" s="223"/>
      <c r="D67" s="267">
        <f>24000+30000+100000+44000</f>
        <v>198000</v>
      </c>
      <c r="E67" s="267">
        <v>165000</v>
      </c>
      <c r="F67" s="223">
        <v>295500</v>
      </c>
      <c r="G67" s="223">
        <v>2170640</v>
      </c>
      <c r="H67" s="223">
        <v>760650</v>
      </c>
      <c r="I67" s="223">
        <v>2070300</v>
      </c>
      <c r="J67" s="223">
        <v>653006</v>
      </c>
      <c r="K67" s="223">
        <f>838800-48800</f>
        <v>790000</v>
      </c>
      <c r="L67" s="223">
        <v>201100</v>
      </c>
      <c r="M67" s="223">
        <v>146000</v>
      </c>
      <c r="N67" s="223">
        <v>232500</v>
      </c>
      <c r="O67" s="223">
        <v>68200</v>
      </c>
      <c r="P67" s="233">
        <f t="shared" si="2"/>
        <v>7750896</v>
      </c>
    </row>
    <row r="68" spans="2:16" ht="15.75" thickBot="1">
      <c r="B68" s="236"/>
      <c r="C68" s="237"/>
      <c r="D68" s="237">
        <f>SUM(D62:D67)</f>
        <v>80310250</v>
      </c>
      <c r="E68" s="237">
        <f t="shared" ref="E68:O68" si="3">SUM(E62:E67)</f>
        <v>100165000</v>
      </c>
      <c r="F68" s="237">
        <f t="shared" si="3"/>
        <v>295500</v>
      </c>
      <c r="G68" s="237">
        <f t="shared" si="3"/>
        <v>2170640</v>
      </c>
      <c r="H68" s="237">
        <f t="shared" si="3"/>
        <v>760650</v>
      </c>
      <c r="I68" s="237">
        <f t="shared" si="3"/>
        <v>110070300</v>
      </c>
      <c r="J68" s="237">
        <f t="shared" si="3"/>
        <v>118865856</v>
      </c>
      <c r="K68" s="237">
        <f t="shared" si="3"/>
        <v>790000</v>
      </c>
      <c r="L68" s="237">
        <f t="shared" si="3"/>
        <v>201100</v>
      </c>
      <c r="M68" s="237">
        <f t="shared" si="3"/>
        <v>146000</v>
      </c>
      <c r="N68" s="237">
        <f t="shared" si="3"/>
        <v>232500</v>
      </c>
      <c r="O68" s="237">
        <f t="shared" si="3"/>
        <v>68200</v>
      </c>
      <c r="P68" s="233">
        <f t="shared" si="2"/>
        <v>414075996</v>
      </c>
    </row>
    <row r="69" spans="2:16" ht="17.25">
      <c r="B69" s="218"/>
      <c r="C69" s="21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</row>
    <row r="70" spans="2:16" ht="17.25">
      <c r="B70" s="218"/>
      <c r="C70" s="21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</row>
    <row r="71" spans="2:16" ht="17.25">
      <c r="B71" s="218"/>
      <c r="C71" s="21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</row>
    <row r="72" spans="2:16" ht="17.25">
      <c r="B72" s="218"/>
      <c r="C72" s="21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</row>
    <row r="73" spans="2:16" ht="17.25">
      <c r="B73" s="218"/>
      <c r="C73" s="21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</row>
    <row r="74" spans="2:16" ht="17.25">
      <c r="B74" s="218"/>
      <c r="C74" s="21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</row>
    <row r="75" spans="2:16" ht="17.25">
      <c r="B75" s="218"/>
      <c r="C75" s="218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</row>
    <row r="76" spans="2:16" ht="17.25">
      <c r="B76" s="218"/>
      <c r="C76" s="21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</row>
    <row r="77" spans="2:16" ht="17.25">
      <c r="B77" s="218"/>
      <c r="C77" s="21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</row>
    <row r="78" spans="2:16" ht="17.25">
      <c r="B78" s="218"/>
      <c r="C78" s="21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</row>
    <row r="79" spans="2:16" ht="17.25">
      <c r="B79" s="218"/>
      <c r="C79" s="21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</row>
    <row r="80" spans="2:16" ht="17.25">
      <c r="B80" s="218"/>
      <c r="C80" s="21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</row>
    <row r="81" spans="2:16" ht="17.25">
      <c r="B81" s="218"/>
      <c r="C81" s="21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</row>
    <row r="82" spans="2:16" ht="17.25">
      <c r="B82" s="218"/>
      <c r="C82" s="218"/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</row>
    <row r="83" spans="2:16" ht="17.25">
      <c r="B83" s="218"/>
      <c r="C83" s="218"/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/>
      <c r="P83" s="238"/>
    </row>
    <row r="84" spans="2:16" ht="17.25">
      <c r="B84" s="218"/>
      <c r="C84" s="21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</row>
    <row r="85" spans="2:16" ht="17.25">
      <c r="B85" s="218"/>
      <c r="C85" s="21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</row>
    <row r="86" spans="2:16" ht="17.25">
      <c r="B86" s="218"/>
      <c r="C86" s="218"/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</row>
    <row r="87" spans="2:16" ht="17.25">
      <c r="B87" s="218"/>
      <c r="C87" s="218"/>
      <c r="D87" s="238"/>
      <c r="E87" s="238"/>
      <c r="F87" s="238"/>
      <c r="G87" s="238"/>
      <c r="H87" s="238"/>
      <c r="I87" s="238"/>
      <c r="J87" s="238"/>
      <c r="K87" s="238"/>
      <c r="L87" s="238"/>
      <c r="M87" s="238"/>
      <c r="N87" s="238"/>
      <c r="O87" s="238"/>
      <c r="P87" s="238"/>
    </row>
    <row r="88" spans="2:16" ht="17.25">
      <c r="B88" s="218"/>
      <c r="C88" s="218"/>
      <c r="D88" s="238"/>
      <c r="E88" s="238"/>
      <c r="F88" s="238"/>
      <c r="G88" s="238"/>
      <c r="H88" s="238"/>
      <c r="I88" s="238"/>
      <c r="J88" s="238"/>
      <c r="K88" s="238"/>
      <c r="L88" s="238"/>
      <c r="M88" s="238"/>
      <c r="N88" s="238"/>
      <c r="O88" s="238"/>
      <c r="P88" s="238"/>
    </row>
    <row r="89" spans="2:16" ht="17.25">
      <c r="B89" s="218"/>
      <c r="C89" s="21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</row>
    <row r="90" spans="2:16" ht="17.25">
      <c r="B90" s="218"/>
      <c r="C90" s="21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</row>
    <row r="91" spans="2:16" ht="17.25">
      <c r="B91" s="218"/>
      <c r="C91" s="21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</row>
    <row r="92" spans="2:16" ht="17.25">
      <c r="B92" s="218"/>
      <c r="C92" s="21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</row>
    <row r="93" spans="2:16" ht="17.25">
      <c r="B93" s="218"/>
      <c r="C93" s="21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</row>
    <row r="94" spans="2:16" ht="17.25">
      <c r="B94" s="218"/>
      <c r="C94" s="21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</row>
    <row r="95" spans="2:16" ht="17.25">
      <c r="B95" s="218"/>
      <c r="C95" s="21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</row>
    <row r="96" spans="2:16" ht="18" thickBot="1">
      <c r="B96" s="218"/>
      <c r="C96" s="218"/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</row>
    <row r="97" spans="2:16">
      <c r="B97" s="197" t="s">
        <v>136</v>
      </c>
      <c r="C97" s="239"/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40"/>
    </row>
    <row r="98" spans="2:16">
      <c r="B98" s="228" t="s">
        <v>153</v>
      </c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5"/>
    </row>
    <row r="99" spans="2:16">
      <c r="B99" s="228" t="s">
        <v>187</v>
      </c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5"/>
    </row>
    <row r="100" spans="2:16">
      <c r="B100" s="241"/>
      <c r="C100" s="234"/>
      <c r="D100" s="242" t="s">
        <v>138</v>
      </c>
      <c r="E100" s="242" t="s">
        <v>139</v>
      </c>
      <c r="F100" s="242" t="s">
        <v>140</v>
      </c>
      <c r="G100" s="242" t="s">
        <v>141</v>
      </c>
      <c r="H100" s="242" t="s">
        <v>142</v>
      </c>
      <c r="I100" s="242" t="s">
        <v>143</v>
      </c>
      <c r="J100" s="242" t="s">
        <v>144</v>
      </c>
      <c r="K100" s="242" t="s">
        <v>145</v>
      </c>
      <c r="L100" s="242" t="s">
        <v>146</v>
      </c>
      <c r="M100" s="242" t="s">
        <v>147</v>
      </c>
      <c r="N100" s="242" t="s">
        <v>148</v>
      </c>
      <c r="O100" s="242" t="s">
        <v>149</v>
      </c>
      <c r="P100" s="243" t="s">
        <v>150</v>
      </c>
    </row>
    <row r="101" spans="2:16">
      <c r="B101" s="241"/>
      <c r="C101" s="234"/>
      <c r="D101" s="244" t="s">
        <v>0</v>
      </c>
      <c r="E101" s="244" t="s">
        <v>0</v>
      </c>
      <c r="F101" s="244" t="s">
        <v>0</v>
      </c>
      <c r="G101" s="244" t="s">
        <v>0</v>
      </c>
      <c r="H101" s="244" t="s">
        <v>0</v>
      </c>
      <c r="I101" s="244" t="s">
        <v>0</v>
      </c>
      <c r="J101" s="244" t="s">
        <v>0</v>
      </c>
      <c r="K101" s="244" t="s">
        <v>0</v>
      </c>
      <c r="L101" s="244" t="s">
        <v>0</v>
      </c>
      <c r="M101" s="244" t="s">
        <v>0</v>
      </c>
      <c r="N101" s="244" t="s">
        <v>0</v>
      </c>
      <c r="O101" s="244" t="s">
        <v>0</v>
      </c>
      <c r="P101" s="245" t="s">
        <v>0</v>
      </c>
    </row>
    <row r="102" spans="2:16">
      <c r="B102" s="241" t="s">
        <v>159</v>
      </c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235"/>
    </row>
    <row r="103" spans="2:16">
      <c r="B103" s="246" t="s">
        <v>177</v>
      </c>
      <c r="C103" s="211"/>
      <c r="D103" s="211">
        <v>72000</v>
      </c>
      <c r="E103" s="211"/>
      <c r="F103" s="211">
        <v>72000</v>
      </c>
      <c r="G103" s="211"/>
      <c r="H103" s="211">
        <f>144000</f>
        <v>144000</v>
      </c>
      <c r="I103" s="211">
        <v>144000</v>
      </c>
      <c r="J103" s="211">
        <v>72000</v>
      </c>
      <c r="K103" s="211">
        <f>72000</f>
        <v>72000</v>
      </c>
      <c r="L103" s="211">
        <v>72000</v>
      </c>
      <c r="M103" s="211">
        <v>60000</v>
      </c>
      <c r="N103" s="211">
        <v>60000</v>
      </c>
      <c r="O103" s="211">
        <v>60000</v>
      </c>
      <c r="P103" s="235">
        <f>SUM(D103:O103)</f>
        <v>828000</v>
      </c>
    </row>
    <row r="104" spans="2:16">
      <c r="B104" s="246" t="s">
        <v>3</v>
      </c>
      <c r="C104" s="211"/>
      <c r="D104" s="211"/>
      <c r="E104" s="211"/>
      <c r="F104" s="211"/>
      <c r="G104" s="211"/>
      <c r="H104" s="211"/>
      <c r="I104" s="211">
        <v>190000</v>
      </c>
      <c r="J104" s="211"/>
      <c r="K104" s="211"/>
      <c r="L104" s="211"/>
      <c r="M104" s="211"/>
      <c r="N104" s="211"/>
      <c r="O104" s="211"/>
      <c r="P104" s="235">
        <f t="shared" ref="P104:P141" si="4">SUM(D104:O104)</f>
        <v>190000</v>
      </c>
    </row>
    <row r="105" spans="2:16">
      <c r="B105" s="231" t="s">
        <v>181</v>
      </c>
      <c r="C105" s="211"/>
      <c r="D105" s="211"/>
      <c r="E105" s="211"/>
      <c r="F105" s="211">
        <v>880000</v>
      </c>
      <c r="G105" s="211">
        <f>985000+159000</f>
        <v>1144000</v>
      </c>
      <c r="H105" s="211"/>
      <c r="I105" s="211"/>
      <c r="J105" s="211">
        <f>100000</f>
        <v>100000</v>
      </c>
      <c r="K105" s="211">
        <f>130000+1039000</f>
        <v>1169000</v>
      </c>
      <c r="L105" s="211"/>
      <c r="M105" s="211">
        <f>120000</f>
        <v>120000</v>
      </c>
      <c r="N105" s="211"/>
      <c r="O105" s="211">
        <v>130000</v>
      </c>
      <c r="P105" s="235">
        <f t="shared" si="4"/>
        <v>3543000</v>
      </c>
    </row>
    <row r="106" spans="2:16">
      <c r="B106" s="246" t="s">
        <v>4</v>
      </c>
      <c r="C106" s="211"/>
      <c r="D106" s="211"/>
      <c r="E106" s="211"/>
      <c r="F106" s="211"/>
      <c r="G106" s="211"/>
      <c r="H106" s="211">
        <f>2100000</f>
        <v>2100000</v>
      </c>
      <c r="I106" s="211"/>
      <c r="J106" s="211">
        <f>2450000+50000</f>
        <v>2500000</v>
      </c>
      <c r="K106" s="211"/>
      <c r="L106" s="211"/>
      <c r="M106" s="211"/>
      <c r="N106" s="211"/>
      <c r="O106" s="211"/>
      <c r="P106" s="235">
        <f t="shared" si="4"/>
        <v>4600000</v>
      </c>
    </row>
    <row r="107" spans="2:16">
      <c r="B107" s="246" t="s">
        <v>15</v>
      </c>
      <c r="C107" s="211"/>
      <c r="D107" s="211"/>
      <c r="E107" s="211"/>
      <c r="F107" s="211"/>
      <c r="G107" s="211"/>
      <c r="H107" s="211">
        <f>750000</f>
        <v>750000</v>
      </c>
      <c r="I107" s="211"/>
      <c r="J107" s="211">
        <v>750000</v>
      </c>
      <c r="K107" s="211"/>
      <c r="L107" s="211"/>
      <c r="M107" s="211"/>
      <c r="N107" s="211"/>
      <c r="O107" s="211"/>
      <c r="P107" s="235">
        <f t="shared" si="4"/>
        <v>1500000</v>
      </c>
    </row>
    <row r="108" spans="2:16">
      <c r="B108" s="231" t="s">
        <v>184</v>
      </c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>
        <v>55000000</v>
      </c>
      <c r="P108" s="235">
        <f t="shared" si="4"/>
        <v>55000000</v>
      </c>
    </row>
    <row r="109" spans="2:16">
      <c r="B109" s="23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35">
        <f t="shared" si="4"/>
        <v>0</v>
      </c>
    </row>
    <row r="110" spans="2:16">
      <c r="B110" s="241" t="s">
        <v>160</v>
      </c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235">
        <f t="shared" si="4"/>
        <v>0</v>
      </c>
    </row>
    <row r="111" spans="2:16">
      <c r="B111" s="246" t="s">
        <v>17</v>
      </c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35">
        <f t="shared" si="4"/>
        <v>0</v>
      </c>
    </row>
    <row r="112" spans="2:16">
      <c r="B112" s="246" t="s">
        <v>20</v>
      </c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>
        <v>650000</v>
      </c>
      <c r="P112" s="235">
        <f t="shared" si="4"/>
        <v>650000</v>
      </c>
    </row>
    <row r="113" spans="2:16">
      <c r="B113" s="231" t="s">
        <v>4</v>
      </c>
      <c r="C113" s="211"/>
      <c r="D113" s="211"/>
      <c r="E113" s="211"/>
      <c r="F113" s="211"/>
      <c r="G113" s="211"/>
      <c r="H113" s="211"/>
      <c r="I113" s="211"/>
      <c r="J113" s="211">
        <f>1300000</f>
        <v>1300000</v>
      </c>
      <c r="K113" s="211"/>
      <c r="L113" s="211"/>
      <c r="M113" s="211"/>
      <c r="N113" s="211"/>
      <c r="O113" s="211"/>
      <c r="P113" s="235">
        <f t="shared" si="4"/>
        <v>1300000</v>
      </c>
    </row>
    <row r="114" spans="2:16">
      <c r="B114" s="23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35">
        <f t="shared" si="4"/>
        <v>0</v>
      </c>
    </row>
    <row r="115" spans="2:16">
      <c r="B115" s="241" t="s">
        <v>5</v>
      </c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35">
        <f t="shared" si="4"/>
        <v>0</v>
      </c>
    </row>
    <row r="116" spans="2:16">
      <c r="B116" s="246" t="s">
        <v>7</v>
      </c>
      <c r="C116" s="211"/>
      <c r="D116" s="211"/>
      <c r="E116" s="211"/>
      <c r="F116" s="211"/>
      <c r="G116" s="211"/>
      <c r="H116" s="211">
        <f>2250000+6080000</f>
        <v>8330000</v>
      </c>
      <c r="I116" s="211"/>
      <c r="J116" s="211"/>
      <c r="K116" s="211"/>
      <c r="L116" s="211"/>
      <c r="M116" s="211"/>
      <c r="N116" s="211"/>
      <c r="O116" s="211"/>
      <c r="P116" s="235">
        <f t="shared" si="4"/>
        <v>8330000</v>
      </c>
    </row>
    <row r="117" spans="2:16">
      <c r="B117" s="246" t="s">
        <v>8</v>
      </c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35">
        <f t="shared" si="4"/>
        <v>0</v>
      </c>
    </row>
    <row r="118" spans="2:16">
      <c r="B118" s="246" t="s">
        <v>9</v>
      </c>
      <c r="C118" s="211"/>
      <c r="D118" s="211"/>
      <c r="E118" s="211">
        <f>7308000+1758240+97680+97680+1758390</f>
        <v>11019990</v>
      </c>
      <c r="F118" s="211">
        <f>1953600-1758240</f>
        <v>195360</v>
      </c>
      <c r="G118" s="211">
        <f>1953600+4872000+1953600</f>
        <v>8779200</v>
      </c>
      <c r="H118" s="211">
        <v>293040</v>
      </c>
      <c r="I118" s="211">
        <f>4879000+1953600</f>
        <v>6832600</v>
      </c>
      <c r="J118" s="211">
        <f>4900000+976000+360000</f>
        <v>6236000</v>
      </c>
      <c r="K118" s="211">
        <f>976800</f>
        <v>976800</v>
      </c>
      <c r="L118" s="211"/>
      <c r="M118" s="211">
        <f>3668000</f>
        <v>3668000</v>
      </c>
      <c r="N118" s="211">
        <v>976800</v>
      </c>
      <c r="O118" s="211"/>
      <c r="P118" s="235">
        <f t="shared" si="4"/>
        <v>38977790</v>
      </c>
    </row>
    <row r="119" spans="2:16">
      <c r="B119" s="246" t="s">
        <v>18</v>
      </c>
      <c r="C119" s="211"/>
      <c r="D119" s="211">
        <v>1021000</v>
      </c>
      <c r="E119" s="211"/>
      <c r="F119" s="211">
        <f>780000+1021000</f>
        <v>1801000</v>
      </c>
      <c r="G119" s="211">
        <f>780000</f>
        <v>780000</v>
      </c>
      <c r="H119" s="211"/>
      <c r="I119" s="211"/>
      <c r="J119" s="211">
        <f>780000+1259500+146850</f>
        <v>2186350</v>
      </c>
      <c r="K119" s="211"/>
      <c r="L119" s="211">
        <f>780000+1259500</f>
        <v>2039500</v>
      </c>
      <c r="M119" s="211"/>
      <c r="N119" s="211"/>
      <c r="O119" s="211"/>
      <c r="P119" s="235">
        <f t="shared" si="4"/>
        <v>7827850</v>
      </c>
    </row>
    <row r="120" spans="2:16">
      <c r="B120" s="246" t="s">
        <v>16</v>
      </c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35">
        <f t="shared" si="4"/>
        <v>0</v>
      </c>
    </row>
    <row r="121" spans="2:16">
      <c r="B121" s="231" t="s">
        <v>178</v>
      </c>
      <c r="C121" s="211"/>
      <c r="D121" s="211"/>
      <c r="E121" s="211"/>
      <c r="F121" s="211"/>
      <c r="G121" s="211">
        <f>4617000</f>
        <v>4617000</v>
      </c>
      <c r="H121" s="211"/>
      <c r="I121" s="211"/>
      <c r="J121" s="211"/>
      <c r="K121" s="211"/>
      <c r="L121" s="211"/>
      <c r="M121" s="211"/>
      <c r="N121" s="211"/>
      <c r="O121" s="211"/>
      <c r="P121" s="235">
        <f t="shared" si="4"/>
        <v>4617000</v>
      </c>
    </row>
    <row r="122" spans="2:16">
      <c r="B122" s="246" t="s">
        <v>19</v>
      </c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>
        <f>928012+546565</f>
        <v>1474577</v>
      </c>
      <c r="P122" s="235">
        <f t="shared" si="4"/>
        <v>1474577</v>
      </c>
    </row>
    <row r="123" spans="2:16">
      <c r="B123" s="246" t="s">
        <v>161</v>
      </c>
      <c r="C123" s="211"/>
      <c r="D123" s="211"/>
      <c r="E123" s="211"/>
      <c r="F123" s="211">
        <f>16165147</f>
        <v>16165147</v>
      </c>
      <c r="G123" s="211"/>
      <c r="H123" s="211"/>
      <c r="I123" s="211">
        <f>13950000+1930000</f>
        <v>15880000</v>
      </c>
      <c r="J123" s="211"/>
      <c r="K123" s="211"/>
      <c r="L123" s="211"/>
      <c r="M123" s="211"/>
      <c r="N123" s="211">
        <f>9735000</f>
        <v>9735000</v>
      </c>
      <c r="O123" s="211"/>
      <c r="P123" s="235">
        <f t="shared" si="4"/>
        <v>41780147</v>
      </c>
    </row>
    <row r="124" spans="2:16">
      <c r="B124" s="231" t="s">
        <v>179</v>
      </c>
      <c r="C124" s="211"/>
      <c r="D124" s="211"/>
      <c r="E124" s="211"/>
      <c r="F124" s="211"/>
      <c r="G124" s="211"/>
      <c r="H124" s="211">
        <f>37000000+800000</f>
        <v>37800000</v>
      </c>
      <c r="I124" s="211"/>
      <c r="J124" s="211"/>
      <c r="K124" s="211"/>
      <c r="L124" s="211"/>
      <c r="M124" s="211"/>
      <c r="N124" s="211"/>
      <c r="O124" s="211"/>
      <c r="P124" s="235">
        <f t="shared" si="4"/>
        <v>37800000</v>
      </c>
    </row>
    <row r="125" spans="2:16">
      <c r="B125" s="246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35">
        <f t="shared" si="4"/>
        <v>0</v>
      </c>
    </row>
    <row r="126" spans="2:16">
      <c r="B126" s="208" t="s">
        <v>6</v>
      </c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35">
        <f t="shared" si="4"/>
        <v>0</v>
      </c>
    </row>
    <row r="127" spans="2:16">
      <c r="B127" s="247" t="s">
        <v>183</v>
      </c>
      <c r="C127" s="211"/>
      <c r="D127" s="211">
        <v>16464500</v>
      </c>
      <c r="E127" s="211"/>
      <c r="F127" s="211"/>
      <c r="G127" s="211">
        <v>18749400</v>
      </c>
      <c r="H127" s="211"/>
      <c r="I127" s="211">
        <v>17333100</v>
      </c>
      <c r="J127" s="211">
        <v>24020300</v>
      </c>
      <c r="K127" s="211">
        <f>1942000</f>
        <v>1942000</v>
      </c>
      <c r="L127" s="211"/>
      <c r="M127" s="211"/>
      <c r="N127" s="211">
        <v>20311300</v>
      </c>
      <c r="O127" s="211"/>
      <c r="P127" s="235">
        <f t="shared" si="4"/>
        <v>98820600</v>
      </c>
    </row>
    <row r="128" spans="2:16" ht="15.75">
      <c r="B128" s="248" t="s">
        <v>4</v>
      </c>
      <c r="C128" s="211"/>
      <c r="D128" s="211"/>
      <c r="E128" s="211"/>
      <c r="F128" s="211"/>
      <c r="G128" s="211"/>
      <c r="H128" s="211">
        <f>7404000</f>
        <v>7404000</v>
      </c>
      <c r="I128" s="211">
        <v>7404000</v>
      </c>
      <c r="J128" s="211"/>
      <c r="K128" s="211"/>
      <c r="L128" s="211"/>
      <c r="M128" s="211"/>
      <c r="N128" s="211"/>
      <c r="O128" s="211"/>
      <c r="P128" s="235">
        <f t="shared" si="4"/>
        <v>14808000</v>
      </c>
    </row>
    <row r="129" spans="2:16" ht="15.75">
      <c r="B129" s="248" t="s">
        <v>12</v>
      </c>
      <c r="C129" s="211"/>
      <c r="D129" s="211">
        <v>1797000</v>
      </c>
      <c r="E129" s="211"/>
      <c r="F129" s="211"/>
      <c r="G129" s="211">
        <f>1797000+1789000</f>
        <v>3586000</v>
      </c>
      <c r="H129" s="211"/>
      <c r="I129" s="211">
        <v>1789000</v>
      </c>
      <c r="J129" s="211"/>
      <c r="K129" s="211">
        <f>1953000</f>
        <v>1953000</v>
      </c>
      <c r="L129" s="211"/>
      <c r="M129" s="211">
        <f>1993000</f>
        <v>1993000</v>
      </c>
      <c r="N129" s="211"/>
      <c r="O129" s="211"/>
      <c r="P129" s="235">
        <f t="shared" si="4"/>
        <v>11118000</v>
      </c>
    </row>
    <row r="130" spans="2:16" ht="15.75">
      <c r="B130" s="248" t="s">
        <v>13</v>
      </c>
      <c r="C130" s="211"/>
      <c r="D130" s="211"/>
      <c r="E130" s="211"/>
      <c r="F130" s="211"/>
      <c r="G130" s="211"/>
      <c r="H130" s="211">
        <f>270000</f>
        <v>270000</v>
      </c>
      <c r="I130" s="263">
        <v>750000</v>
      </c>
      <c r="J130" s="211"/>
      <c r="K130" s="211">
        <f>450000</f>
        <v>450000</v>
      </c>
      <c r="L130" s="211"/>
      <c r="M130" s="211"/>
      <c r="N130" s="211">
        <f>270000</f>
        <v>270000</v>
      </c>
      <c r="O130" s="211"/>
      <c r="P130" s="235">
        <f t="shared" si="4"/>
        <v>1740000</v>
      </c>
    </row>
    <row r="131" spans="2:16" ht="15.75">
      <c r="B131" s="248" t="s">
        <v>14</v>
      </c>
      <c r="C131" s="211"/>
      <c r="D131" s="211">
        <v>220000</v>
      </c>
      <c r="E131" s="211"/>
      <c r="F131" s="211">
        <v>440000</v>
      </c>
      <c r="G131" s="211">
        <f>220000</f>
        <v>220000</v>
      </c>
      <c r="H131" s="211"/>
      <c r="I131" s="211">
        <v>220000</v>
      </c>
      <c r="J131" s="211">
        <v>220000</v>
      </c>
      <c r="K131" s="211"/>
      <c r="L131" s="211"/>
      <c r="M131" s="211">
        <v>220000</v>
      </c>
      <c r="N131" s="211">
        <v>220000</v>
      </c>
      <c r="O131" s="211">
        <f>260000+805000</f>
        <v>1065000</v>
      </c>
      <c r="P131" s="235">
        <f t="shared" si="4"/>
        <v>2825000</v>
      </c>
    </row>
    <row r="132" spans="2:16" ht="15.75">
      <c r="B132" s="248" t="s">
        <v>162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>
        <v>596000</v>
      </c>
      <c r="P132" s="235">
        <f t="shared" si="4"/>
        <v>596000</v>
      </c>
    </row>
    <row r="133" spans="2:16">
      <c r="B133" s="241" t="s">
        <v>163</v>
      </c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35">
        <f t="shared" si="4"/>
        <v>0</v>
      </c>
    </row>
    <row r="134" spans="2:16">
      <c r="B134" s="241" t="s">
        <v>182</v>
      </c>
      <c r="C134" s="211"/>
      <c r="D134" s="211"/>
      <c r="E134" s="211"/>
      <c r="F134" s="211"/>
      <c r="G134" s="211"/>
      <c r="H134" s="211"/>
      <c r="I134" s="263">
        <v>0</v>
      </c>
      <c r="J134" s="211">
        <f>2945000+2500000</f>
        <v>5445000</v>
      </c>
      <c r="K134" s="211"/>
      <c r="L134" s="211"/>
      <c r="M134" s="211"/>
      <c r="N134" s="211">
        <v>9593700</v>
      </c>
      <c r="O134" s="211"/>
      <c r="P134" s="235">
        <f t="shared" si="4"/>
        <v>15038700</v>
      </c>
    </row>
    <row r="135" spans="2:16">
      <c r="B135" s="246" t="s">
        <v>11</v>
      </c>
      <c r="C135" s="211"/>
      <c r="D135" s="211"/>
      <c r="E135" s="211"/>
      <c r="F135" s="211"/>
      <c r="G135" s="211">
        <f>300000</f>
        <v>300000</v>
      </c>
      <c r="H135" s="211"/>
      <c r="I135" s="211">
        <v>300000</v>
      </c>
      <c r="J135" s="211"/>
      <c r="K135" s="211"/>
      <c r="L135" s="211"/>
      <c r="M135" s="211">
        <v>300000</v>
      </c>
      <c r="N135" s="211"/>
      <c r="O135" s="211"/>
      <c r="P135" s="235">
        <f t="shared" si="4"/>
        <v>900000</v>
      </c>
    </row>
    <row r="136" spans="2:16">
      <c r="B136" s="231" t="s">
        <v>180</v>
      </c>
      <c r="C136" s="211"/>
      <c r="D136" s="211"/>
      <c r="E136" s="211"/>
      <c r="F136" s="211"/>
      <c r="G136" s="211"/>
      <c r="H136" s="211"/>
      <c r="I136" s="211"/>
      <c r="J136" s="211"/>
      <c r="K136" s="211">
        <f>210000+1920000</f>
        <v>2130000</v>
      </c>
      <c r="L136" s="211"/>
      <c r="M136" s="211"/>
      <c r="N136" s="211"/>
      <c r="O136" s="211"/>
      <c r="P136" s="235">
        <f t="shared" si="4"/>
        <v>2130000</v>
      </c>
    </row>
    <row r="137" spans="2:16">
      <c r="B137" s="246" t="s">
        <v>2</v>
      </c>
      <c r="C137" s="211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11"/>
      <c r="P137" s="235">
        <f t="shared" si="4"/>
        <v>0</v>
      </c>
    </row>
    <row r="138" spans="2:16">
      <c r="B138" s="241" t="s">
        <v>2</v>
      </c>
      <c r="C138" s="211"/>
      <c r="D138" s="211"/>
      <c r="E138" s="211"/>
      <c r="F138" s="211"/>
      <c r="G138" s="211">
        <f>3375000</f>
        <v>3375000</v>
      </c>
      <c r="H138" s="211"/>
      <c r="I138" s="211"/>
      <c r="J138" s="211">
        <v>4050000</v>
      </c>
      <c r="K138" s="211">
        <f>480000</f>
        <v>480000</v>
      </c>
      <c r="L138" s="211">
        <f>1535500</f>
        <v>1535500</v>
      </c>
      <c r="M138" s="211"/>
      <c r="N138" s="211"/>
      <c r="O138" s="211"/>
      <c r="P138" s="235">
        <f t="shared" si="4"/>
        <v>9440500</v>
      </c>
    </row>
    <row r="139" spans="2:16">
      <c r="B139" s="246" t="s">
        <v>91</v>
      </c>
      <c r="C139" s="211"/>
      <c r="D139" s="211">
        <f>244-279</f>
        <v>-35</v>
      </c>
      <c r="E139" s="211">
        <f>154760-150</f>
        <v>154610</v>
      </c>
      <c r="F139" s="211">
        <v>3326</v>
      </c>
      <c r="G139" s="211">
        <v>157804</v>
      </c>
      <c r="H139" s="211">
        <f>2205.5</f>
        <v>2205.5</v>
      </c>
      <c r="I139" s="211">
        <v>150569.5</v>
      </c>
      <c r="J139" s="211">
        <v>4802.5</v>
      </c>
      <c r="K139" s="211">
        <f>3160</f>
        <v>3160</v>
      </c>
      <c r="L139" s="211">
        <v>358</v>
      </c>
      <c r="M139" s="211">
        <v>2870.5</v>
      </c>
      <c r="N139" s="211">
        <f>147605+19999</f>
        <v>167604</v>
      </c>
      <c r="O139" s="211">
        <f>286.5+105.8+0.14</f>
        <v>392.44</v>
      </c>
      <c r="P139" s="235">
        <f t="shared" si="4"/>
        <v>647667.43999999994</v>
      </c>
    </row>
    <row r="140" spans="2:16">
      <c r="B140" s="266" t="s">
        <v>191</v>
      </c>
      <c r="C140" s="223"/>
      <c r="D140" s="223"/>
      <c r="E140" s="270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35">
        <f t="shared" si="4"/>
        <v>0</v>
      </c>
    </row>
    <row r="141" spans="2:16">
      <c r="B141" s="269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35">
        <f t="shared" si="4"/>
        <v>0</v>
      </c>
    </row>
    <row r="142" spans="2:16" ht="15.75" thickBot="1">
      <c r="B142" s="250" t="s">
        <v>150</v>
      </c>
      <c r="C142" s="251"/>
      <c r="D142" s="251">
        <f>SUM(D103:D141)</f>
        <v>19574465</v>
      </c>
      <c r="E142" s="251">
        <f t="shared" ref="E142:P142" si="5">SUM(E103:E141)</f>
        <v>11174600</v>
      </c>
      <c r="F142" s="251">
        <f t="shared" si="5"/>
        <v>19556833</v>
      </c>
      <c r="G142" s="251">
        <f t="shared" si="5"/>
        <v>41708404</v>
      </c>
      <c r="H142" s="251">
        <f t="shared" si="5"/>
        <v>57093245.5</v>
      </c>
      <c r="I142" s="251">
        <f t="shared" si="5"/>
        <v>50993269.5</v>
      </c>
      <c r="J142" s="251">
        <f t="shared" si="5"/>
        <v>46884452.5</v>
      </c>
      <c r="K142" s="251">
        <f t="shared" si="5"/>
        <v>9175960</v>
      </c>
      <c r="L142" s="251">
        <f t="shared" si="5"/>
        <v>3647358</v>
      </c>
      <c r="M142" s="251">
        <f t="shared" si="5"/>
        <v>6363870.5</v>
      </c>
      <c r="N142" s="251">
        <f t="shared" si="5"/>
        <v>41334404</v>
      </c>
      <c r="O142" s="251">
        <f t="shared" si="5"/>
        <v>58975969.439999998</v>
      </c>
      <c r="P142" s="251">
        <f t="shared" si="5"/>
        <v>366482831.44</v>
      </c>
    </row>
    <row r="143" spans="2:16">
      <c r="B143" s="252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53"/>
    </row>
    <row r="144" spans="2:16">
      <c r="B144" s="252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53"/>
    </row>
    <row r="145" spans="2:16">
      <c r="B145" s="252"/>
      <c r="C145" s="218"/>
      <c r="D145" s="253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53"/>
    </row>
    <row r="146" spans="2:16">
      <c r="B146" s="252"/>
      <c r="C146" s="218"/>
      <c r="D146" s="253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53"/>
    </row>
    <row r="147" spans="2:16">
      <c r="B147" s="252"/>
      <c r="C147" s="218"/>
      <c r="D147" s="253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53"/>
    </row>
    <row r="148" spans="2:16">
      <c r="B148" s="252"/>
      <c r="C148" s="218"/>
      <c r="D148" s="253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53"/>
    </row>
    <row r="149" spans="2:16">
      <c r="B149" s="252"/>
      <c r="C149" s="218"/>
      <c r="D149" s="253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53"/>
    </row>
    <row r="150" spans="2:16">
      <c r="B150" s="252"/>
      <c r="C150" s="218"/>
      <c r="D150" s="253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53"/>
    </row>
    <row r="151" spans="2:16">
      <c r="B151" s="252"/>
      <c r="C151" s="218"/>
      <c r="D151" s="253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53"/>
    </row>
    <row r="152" spans="2:16" ht="15.75" thickBot="1">
      <c r="B152" s="252"/>
      <c r="C152" s="218"/>
      <c r="D152" s="253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53"/>
    </row>
    <row r="153" spans="2:16" ht="17.25">
      <c r="B153" s="197" t="s">
        <v>136</v>
      </c>
      <c r="C153" s="226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5"/>
    </row>
    <row r="154" spans="2:16" ht="17.25">
      <c r="B154" s="241" t="s">
        <v>164</v>
      </c>
      <c r="C154" s="211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7"/>
    </row>
    <row r="155" spans="2:16" ht="17.25">
      <c r="B155" s="241" t="s">
        <v>185</v>
      </c>
      <c r="C155" s="211"/>
      <c r="D155" s="256"/>
      <c r="E155" s="256"/>
      <c r="F155" s="256"/>
      <c r="G155" s="256"/>
      <c r="H155" s="256"/>
      <c r="I155" s="256"/>
      <c r="J155" s="256"/>
      <c r="K155" s="256"/>
      <c r="L155" s="256"/>
      <c r="M155" s="256"/>
      <c r="N155" s="256"/>
      <c r="O155" s="256"/>
      <c r="P155" s="257"/>
    </row>
    <row r="156" spans="2:16">
      <c r="B156" s="246"/>
      <c r="C156" s="211"/>
      <c r="D156" s="242" t="s">
        <v>138</v>
      </c>
      <c r="E156" s="242" t="s">
        <v>139</v>
      </c>
      <c r="F156" s="242" t="s">
        <v>140</v>
      </c>
      <c r="G156" s="242" t="s">
        <v>141</v>
      </c>
      <c r="H156" s="242" t="s">
        <v>142</v>
      </c>
      <c r="I156" s="242" t="s">
        <v>143</v>
      </c>
      <c r="J156" s="242" t="s">
        <v>144</v>
      </c>
      <c r="K156" s="242" t="s">
        <v>145</v>
      </c>
      <c r="L156" s="242" t="s">
        <v>146</v>
      </c>
      <c r="M156" s="242" t="s">
        <v>147</v>
      </c>
      <c r="N156" s="242" t="s">
        <v>148</v>
      </c>
      <c r="O156" s="242" t="s">
        <v>149</v>
      </c>
      <c r="P156" s="243" t="s">
        <v>150</v>
      </c>
    </row>
    <row r="157" spans="2:16">
      <c r="B157" s="246"/>
      <c r="C157" s="211"/>
      <c r="D157" s="258" t="s">
        <v>0</v>
      </c>
      <c r="E157" s="258" t="s">
        <v>0</v>
      </c>
      <c r="F157" s="258" t="s">
        <v>0</v>
      </c>
      <c r="G157" s="258" t="s">
        <v>0</v>
      </c>
      <c r="H157" s="258" t="s">
        <v>0</v>
      </c>
      <c r="I157" s="258" t="s">
        <v>0</v>
      </c>
      <c r="J157" s="258" t="s">
        <v>0</v>
      </c>
      <c r="K157" s="258" t="s">
        <v>0</v>
      </c>
      <c r="L157" s="258" t="s">
        <v>0</v>
      </c>
      <c r="M157" s="258" t="s">
        <v>0</v>
      </c>
      <c r="N157" s="258" t="s">
        <v>0</v>
      </c>
      <c r="O157" s="258" t="s">
        <v>0</v>
      </c>
      <c r="P157" s="259" t="s">
        <v>0</v>
      </c>
    </row>
    <row r="158" spans="2:16">
      <c r="B158" s="23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35"/>
    </row>
    <row r="159" spans="2:16">
      <c r="B159" s="231" t="s">
        <v>186</v>
      </c>
      <c r="C159" s="211"/>
      <c r="D159" s="211">
        <f>D62</f>
        <v>80112250</v>
      </c>
      <c r="E159" s="211">
        <f t="shared" ref="E159:J159" si="6">D180</f>
        <v>60735784.989999995</v>
      </c>
      <c r="F159" s="211">
        <f t="shared" si="6"/>
        <v>149726184.99000001</v>
      </c>
      <c r="G159" s="211">
        <f t="shared" si="6"/>
        <v>130464851.98999999</v>
      </c>
      <c r="H159" s="211">
        <f t="shared" si="6"/>
        <v>90927087.989999995</v>
      </c>
      <c r="I159" s="211">
        <f t="shared" si="6"/>
        <v>34594492.490000002</v>
      </c>
      <c r="J159" s="211">
        <f t="shared" si="6"/>
        <v>93671522.989999995</v>
      </c>
      <c r="K159" s="211">
        <f>J180</f>
        <v>165652926.49000001</v>
      </c>
      <c r="L159" s="211">
        <f>K180</f>
        <v>157266966.49000001</v>
      </c>
      <c r="M159" s="211">
        <f>L180</f>
        <v>153820708.49000001</v>
      </c>
      <c r="N159" s="211">
        <f>M180</f>
        <v>147602837.99000001</v>
      </c>
      <c r="O159" s="211">
        <f>N180</f>
        <v>106500933.98999999</v>
      </c>
      <c r="P159" s="235">
        <f>D62</f>
        <v>80112250</v>
      </c>
    </row>
    <row r="160" spans="2:16">
      <c r="B160" s="23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235"/>
    </row>
    <row r="161" spans="2:16">
      <c r="B161" s="231" t="s">
        <v>165</v>
      </c>
      <c r="C161" s="211"/>
      <c r="D161" s="211"/>
      <c r="E161" s="211">
        <f t="shared" ref="E161:J161" si="7">E68</f>
        <v>100165000</v>
      </c>
      <c r="F161" s="211">
        <f t="shared" si="7"/>
        <v>295500</v>
      </c>
      <c r="G161" s="211">
        <f t="shared" si="7"/>
        <v>2170640</v>
      </c>
      <c r="H161" s="211">
        <f t="shared" si="7"/>
        <v>760650</v>
      </c>
      <c r="I161" s="211">
        <f t="shared" si="7"/>
        <v>110070300</v>
      </c>
      <c r="J161" s="211">
        <f t="shared" si="7"/>
        <v>118865856</v>
      </c>
      <c r="K161" s="211">
        <f>K68</f>
        <v>790000</v>
      </c>
      <c r="L161" s="211">
        <f>L68</f>
        <v>201100</v>
      </c>
      <c r="M161" s="211">
        <f>M68</f>
        <v>146000</v>
      </c>
      <c r="N161" s="211">
        <f>N68</f>
        <v>232500</v>
      </c>
      <c r="O161" s="211">
        <f>O68</f>
        <v>68200</v>
      </c>
      <c r="P161" s="211">
        <f>P68-80112250</f>
        <v>333963746</v>
      </c>
    </row>
    <row r="162" spans="2:16">
      <c r="B162" s="231" t="s">
        <v>188</v>
      </c>
      <c r="C162" s="211"/>
      <c r="D162" s="211">
        <f>D67</f>
        <v>198000</v>
      </c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</row>
    <row r="163" spans="2:16">
      <c r="B163" s="231"/>
      <c r="C163" s="211"/>
      <c r="D163" s="234">
        <f>D159+D161+D162</f>
        <v>80310250</v>
      </c>
      <c r="E163" s="234">
        <f t="shared" ref="E163:L163" si="8">E159+E161+E162</f>
        <v>160900784.99000001</v>
      </c>
      <c r="F163" s="234">
        <f t="shared" si="8"/>
        <v>150021684.99000001</v>
      </c>
      <c r="G163" s="234">
        <f t="shared" si="8"/>
        <v>132635491.98999999</v>
      </c>
      <c r="H163" s="234">
        <f t="shared" si="8"/>
        <v>91687737.989999995</v>
      </c>
      <c r="I163" s="234">
        <f t="shared" si="8"/>
        <v>144664792.49000001</v>
      </c>
      <c r="J163" s="234">
        <f t="shared" si="8"/>
        <v>212537378.99000001</v>
      </c>
      <c r="K163" s="234">
        <f t="shared" si="8"/>
        <v>166442926.49000001</v>
      </c>
      <c r="L163" s="234">
        <f t="shared" si="8"/>
        <v>157468066.49000001</v>
      </c>
      <c r="M163" s="234">
        <f>M159+M161+M162</f>
        <v>153966708.49000001</v>
      </c>
      <c r="N163" s="234">
        <f>N159+N161+N162</f>
        <v>147835337.99000001</v>
      </c>
      <c r="O163" s="234">
        <f>O159+O161+O162</f>
        <v>106569133.98999999</v>
      </c>
      <c r="P163" s="234">
        <f>P159+P161+P162</f>
        <v>414075996</v>
      </c>
    </row>
    <row r="164" spans="2:16">
      <c r="B164" s="23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</row>
    <row r="165" spans="2:16">
      <c r="B165" s="23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</row>
    <row r="166" spans="2:16">
      <c r="B166" s="231" t="s">
        <v>166</v>
      </c>
      <c r="C166" s="211"/>
      <c r="D166" s="211">
        <f>D142</f>
        <v>19574465</v>
      </c>
      <c r="E166" s="211">
        <f t="shared" ref="E166:J166" si="9">E142</f>
        <v>11174600</v>
      </c>
      <c r="F166" s="211">
        <f t="shared" si="9"/>
        <v>19556833</v>
      </c>
      <c r="G166" s="211">
        <f t="shared" si="9"/>
        <v>41708404</v>
      </c>
      <c r="H166" s="211">
        <f t="shared" si="9"/>
        <v>57093245.5</v>
      </c>
      <c r="I166" s="211">
        <f t="shared" si="9"/>
        <v>50993269.5</v>
      </c>
      <c r="J166" s="211">
        <f t="shared" si="9"/>
        <v>46884452.5</v>
      </c>
      <c r="K166" s="211">
        <f t="shared" ref="K166:P166" si="10">K142</f>
        <v>9175960</v>
      </c>
      <c r="L166" s="211">
        <f t="shared" si="10"/>
        <v>3647358</v>
      </c>
      <c r="M166" s="211">
        <f t="shared" si="10"/>
        <v>6363870.5</v>
      </c>
      <c r="N166" s="211">
        <f t="shared" si="10"/>
        <v>41334404</v>
      </c>
      <c r="O166" s="211">
        <f t="shared" si="10"/>
        <v>58975969.439999998</v>
      </c>
      <c r="P166" s="211">
        <f t="shared" si="10"/>
        <v>366482831.44</v>
      </c>
    </row>
    <row r="167" spans="2:16">
      <c r="B167" s="23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</row>
    <row r="168" spans="2:16">
      <c r="B168" s="231"/>
      <c r="C168" s="211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</row>
    <row r="169" spans="2:16">
      <c r="B169" s="231" t="s">
        <v>167</v>
      </c>
      <c r="C169" s="211"/>
      <c r="D169" s="234">
        <f t="shared" ref="D169:J169" si="11">D163-D166</f>
        <v>60735785</v>
      </c>
      <c r="E169" s="234">
        <f t="shared" si="11"/>
        <v>149726184.99000001</v>
      </c>
      <c r="F169" s="234">
        <f t="shared" si="11"/>
        <v>130464851.99000001</v>
      </c>
      <c r="G169" s="234">
        <f t="shared" si="11"/>
        <v>90927087.989999995</v>
      </c>
      <c r="H169" s="234">
        <f t="shared" si="11"/>
        <v>34594492.489999995</v>
      </c>
      <c r="I169" s="234">
        <f t="shared" si="11"/>
        <v>93671522.99000001</v>
      </c>
      <c r="J169" s="234">
        <f t="shared" si="11"/>
        <v>165652926.49000001</v>
      </c>
      <c r="K169" s="234">
        <f t="shared" ref="K169:P169" si="12">K163-K166</f>
        <v>157266966.49000001</v>
      </c>
      <c r="L169" s="234">
        <f t="shared" si="12"/>
        <v>153820708.49000001</v>
      </c>
      <c r="M169" s="234">
        <f t="shared" si="12"/>
        <v>147602837.99000001</v>
      </c>
      <c r="N169" s="234">
        <f t="shared" si="12"/>
        <v>106500933.99000001</v>
      </c>
      <c r="O169" s="234">
        <f t="shared" si="12"/>
        <v>47593164.549999997</v>
      </c>
      <c r="P169" s="234">
        <f t="shared" si="12"/>
        <v>47593164.560000002</v>
      </c>
    </row>
    <row r="170" spans="2:16">
      <c r="B170" s="246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</row>
    <row r="171" spans="2:16">
      <c r="B171" s="246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</row>
    <row r="172" spans="2:16">
      <c r="B172" s="231" t="s">
        <v>168</v>
      </c>
      <c r="C172" s="211"/>
      <c r="D172" s="234">
        <v>78997284.989999995</v>
      </c>
      <c r="E172" s="211">
        <v>149726184.99000001</v>
      </c>
      <c r="F172" s="211">
        <v>130464851.98999999</v>
      </c>
      <c r="G172" s="211">
        <v>90927087.989999995</v>
      </c>
      <c r="H172" s="211">
        <v>34964692.490000002</v>
      </c>
      <c r="I172" s="211">
        <v>94139402.989999995</v>
      </c>
      <c r="J172" s="211">
        <v>166218406.49000001</v>
      </c>
      <c r="K172" s="211">
        <v>157364646.49000001</v>
      </c>
      <c r="L172" s="211">
        <v>153820708.49000001</v>
      </c>
      <c r="M172" s="211">
        <v>147602837.99000001</v>
      </c>
      <c r="N172" s="211">
        <v>116333613.98999999</v>
      </c>
      <c r="O172" s="211">
        <v>47593164.549999997</v>
      </c>
      <c r="P172" s="211">
        <v>47593165.549999997</v>
      </c>
    </row>
    <row r="173" spans="2:16">
      <c r="B173" s="246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</row>
    <row r="174" spans="2:16">
      <c r="B174" s="231" t="s">
        <v>169</v>
      </c>
      <c r="C174" s="211"/>
      <c r="D174" s="211">
        <v>0</v>
      </c>
      <c r="E174" s="211">
        <v>0</v>
      </c>
      <c r="F174" s="211">
        <v>0</v>
      </c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</row>
    <row r="175" spans="2:16">
      <c r="B175" s="208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</row>
    <row r="176" spans="2:16">
      <c r="B176" s="208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</row>
    <row r="177" spans="2:16" ht="15.75">
      <c r="B177" s="260" t="s">
        <v>170</v>
      </c>
      <c r="C177" s="211"/>
      <c r="D177" s="211">
        <f>16464500+1797000</f>
        <v>18261500</v>
      </c>
      <c r="E177" s="211"/>
      <c r="F177" s="211"/>
      <c r="G177" s="211"/>
      <c r="H177" s="211">
        <v>370200</v>
      </c>
      <c r="I177" s="211">
        <f>97680+370200</f>
        <v>467880</v>
      </c>
      <c r="J177" s="211">
        <f>48800+48800+97680+370200</f>
        <v>565480</v>
      </c>
      <c r="K177" s="211">
        <f>48840+48840</f>
        <v>97680</v>
      </c>
      <c r="L177" s="211"/>
      <c r="M177" s="211"/>
      <c r="N177" s="211">
        <f>48840+48840+9735000</f>
        <v>9832680</v>
      </c>
      <c r="O177" s="211"/>
      <c r="P177" s="211"/>
    </row>
    <row r="178" spans="2:16" ht="18">
      <c r="B178" s="260"/>
      <c r="C178" s="26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</row>
    <row r="179" spans="2:16">
      <c r="B179" s="246"/>
      <c r="C179" s="211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</row>
    <row r="180" spans="2:16">
      <c r="B180" s="241" t="s">
        <v>189</v>
      </c>
      <c r="C180" s="201"/>
      <c r="D180" s="234">
        <f t="shared" ref="D180:O180" si="13">D172+D174-D177</f>
        <v>60735784.989999995</v>
      </c>
      <c r="E180" s="234">
        <f t="shared" si="13"/>
        <v>149726184.99000001</v>
      </c>
      <c r="F180" s="234">
        <f t="shared" si="13"/>
        <v>130464851.98999999</v>
      </c>
      <c r="G180" s="234">
        <f t="shared" si="13"/>
        <v>90927087.989999995</v>
      </c>
      <c r="H180" s="234">
        <f t="shared" si="13"/>
        <v>34594492.490000002</v>
      </c>
      <c r="I180" s="234">
        <f t="shared" si="13"/>
        <v>93671522.989999995</v>
      </c>
      <c r="J180" s="234">
        <f t="shared" si="13"/>
        <v>165652926.49000001</v>
      </c>
      <c r="K180" s="234">
        <f t="shared" si="13"/>
        <v>157266966.49000001</v>
      </c>
      <c r="L180" s="234">
        <f t="shared" si="13"/>
        <v>153820708.49000001</v>
      </c>
      <c r="M180" s="234">
        <f t="shared" si="13"/>
        <v>147602837.99000001</v>
      </c>
      <c r="N180" s="234">
        <f t="shared" si="13"/>
        <v>106500933.98999999</v>
      </c>
      <c r="O180" s="234">
        <f t="shared" si="13"/>
        <v>47593164.549999997</v>
      </c>
      <c r="P180" s="234">
        <f>P172+P174-P177</f>
        <v>47593165.549999997</v>
      </c>
    </row>
    <row r="181" spans="2:16">
      <c r="B181" s="246"/>
      <c r="C181" s="234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</row>
    <row r="182" spans="2:16" ht="15.75" thickBot="1">
      <c r="B182" s="250" t="s">
        <v>171</v>
      </c>
      <c r="C182" s="251"/>
      <c r="D182" s="237">
        <f t="shared" ref="D182:J182" si="14">D169-D180</f>
        <v>1.000000536441803E-2</v>
      </c>
      <c r="E182" s="237">
        <f t="shared" si="14"/>
        <v>0</v>
      </c>
      <c r="F182" s="237">
        <f t="shared" si="14"/>
        <v>0</v>
      </c>
      <c r="G182" s="237">
        <f t="shared" si="14"/>
        <v>0</v>
      </c>
      <c r="H182" s="237">
        <f t="shared" si="14"/>
        <v>0</v>
      </c>
      <c r="I182" s="237">
        <f t="shared" si="14"/>
        <v>0</v>
      </c>
      <c r="J182" s="237">
        <f t="shared" si="14"/>
        <v>0</v>
      </c>
      <c r="K182" s="237">
        <f t="shared" ref="K182:P182" si="15">K169-K180</f>
        <v>0</v>
      </c>
      <c r="L182" s="237">
        <f t="shared" si="15"/>
        <v>0</v>
      </c>
      <c r="M182" s="237">
        <f t="shared" si="15"/>
        <v>0</v>
      </c>
      <c r="N182" s="237">
        <f t="shared" si="15"/>
        <v>0</v>
      </c>
      <c r="O182" s="237">
        <f t="shared" si="15"/>
        <v>0</v>
      </c>
      <c r="P182" s="237">
        <f t="shared" si="15"/>
        <v>-0.98999999463558197</v>
      </c>
    </row>
    <row r="183" spans="2:16">
      <c r="B183" s="218"/>
      <c r="C183" s="253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</row>
    <row r="184" spans="2:16">
      <c r="B184" s="218"/>
      <c r="C184" s="253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52"/>
      <c r="O184" s="218"/>
      <c r="P184" s="218"/>
    </row>
    <row r="185" spans="2:16">
      <c r="B185" s="218"/>
      <c r="C185" s="253"/>
      <c r="D185" s="218">
        <v>16464500</v>
      </c>
      <c r="E185" s="218"/>
      <c r="F185" s="218"/>
      <c r="G185" s="218"/>
      <c r="H185" s="218"/>
      <c r="I185" s="218"/>
      <c r="J185" s="218"/>
      <c r="K185" s="218"/>
      <c r="L185" s="218"/>
      <c r="M185" s="218"/>
      <c r="N185" s="252"/>
      <c r="O185" s="252"/>
      <c r="P185" s="218"/>
    </row>
    <row r="186" spans="2:16" ht="17.25">
      <c r="B186" s="218"/>
      <c r="C186" s="253"/>
      <c r="D186" s="268">
        <v>1797000</v>
      </c>
      <c r="E186" s="268">
        <v>1758390</v>
      </c>
      <c r="F186" s="218"/>
      <c r="G186" s="218"/>
      <c r="H186" s="218"/>
      <c r="I186" s="218"/>
      <c r="J186" s="218"/>
      <c r="K186" s="218"/>
      <c r="L186" s="218"/>
      <c r="M186" s="218"/>
      <c r="N186" s="252"/>
      <c r="O186" s="252"/>
      <c r="P186" s="218"/>
    </row>
    <row r="187" spans="2:16" ht="17.25">
      <c r="B187" s="218"/>
      <c r="C187" s="253"/>
      <c r="D187" s="238">
        <f>SUM(D185:D186)</f>
        <v>18261500</v>
      </c>
      <c r="E187" s="238">
        <f>SUM(E185:E186)</f>
        <v>1758390</v>
      </c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</row>
    <row r="188" spans="2:16">
      <c r="D188" s="271"/>
    </row>
  </sheetData>
  <pageMargins left="0.16" right="0.1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BS</vt:lpstr>
      <vt:lpstr>I &amp; E.</vt:lpstr>
      <vt:lpstr>CF</vt:lpstr>
      <vt:lpstr>notes 1 </vt:lpstr>
      <vt:lpstr>notes 2-5</vt:lpstr>
      <vt:lpstr>Dolar Xcnag</vt:lpstr>
      <vt:lpstr>Asset Schedule</vt:lpstr>
      <vt:lpstr>RECONCILIATION</vt:lpstr>
      <vt:lpstr>Analyses</vt:lpstr>
      <vt:lpstr>AJ</vt:lpstr>
      <vt:lpstr>TB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2018-04-29T13:57:46Z</cp:lastPrinted>
  <dcterms:created xsi:type="dcterms:W3CDTF">2013-06-07T18:11:55Z</dcterms:created>
  <dcterms:modified xsi:type="dcterms:W3CDTF">2018-04-29T15:56:47Z</dcterms:modified>
</cp:coreProperties>
</file>